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o.hiroaki\Box\1900200_研究情報室（全員）\し　GIS関係\さ　酸性雨\CGERページからの移行\データセット\第3次\xls→Excelファイル\"/>
    </mc:Choice>
  </mc:AlternateContent>
  <xr:revisionPtr revIDLastSave="0" documentId="13_ncr:1_{937BA054-3BA1-4B46-AE5E-88F7150F2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欠測率" sheetId="2" r:id="rId1"/>
    <sheet name="採気量" sheetId="3" r:id="rId2"/>
    <sheet name="SO4" sheetId="4" r:id="rId3"/>
    <sheet name="NO3" sheetId="5" r:id="rId4"/>
    <sheet name="Cl" sheetId="6" r:id="rId5"/>
    <sheet name="NH4" sheetId="7" r:id="rId6"/>
    <sheet name="Na" sheetId="8" r:id="rId7"/>
    <sheet name="K" sheetId="9" r:id="rId8"/>
    <sheet name="Ca" sheetId="10" r:id="rId9"/>
    <sheet name="Mg" sheetId="11" r:id="rId10"/>
  </sheets>
  <definedNames>
    <definedName name="__123Graph_ANACL">#REF!</definedName>
    <definedName name="__123Graph_XNACL">#REF!</definedName>
    <definedName name="_Fill">#REF!</definedName>
    <definedName name="_Regression_Out">#REF!</definedName>
    <definedName name="_Regression_X">#REF!</definedName>
    <definedName name="_Regression_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11" l="1"/>
  <c r="P29" i="11"/>
  <c r="O29" i="11"/>
  <c r="Q28" i="11"/>
  <c r="P28" i="11"/>
  <c r="O28" i="11"/>
  <c r="Q27" i="11"/>
  <c r="P27" i="11"/>
  <c r="Q26" i="11"/>
  <c r="P26" i="11"/>
  <c r="O26" i="11"/>
  <c r="Q25" i="11"/>
  <c r="P25" i="11"/>
  <c r="O25" i="11"/>
  <c r="Q24" i="11"/>
  <c r="P24" i="11"/>
  <c r="O24" i="11"/>
  <c r="Q23" i="11"/>
  <c r="P23" i="11"/>
  <c r="O23" i="11"/>
  <c r="Q22" i="11"/>
  <c r="P22" i="11"/>
  <c r="O22" i="11"/>
  <c r="Q21" i="11"/>
  <c r="P21" i="11"/>
  <c r="O21" i="11"/>
  <c r="Q20" i="11"/>
  <c r="P20" i="11"/>
  <c r="O20" i="11"/>
  <c r="Q19" i="11"/>
  <c r="P19" i="11"/>
  <c r="O19" i="11"/>
  <c r="Q18" i="11"/>
  <c r="P18" i="11"/>
  <c r="O18" i="11"/>
  <c r="Q17" i="11"/>
  <c r="P17" i="11"/>
  <c r="O17" i="11"/>
  <c r="Q16" i="11"/>
  <c r="P16" i="11"/>
  <c r="O16" i="11"/>
  <c r="Q15" i="11"/>
  <c r="P15" i="11"/>
  <c r="O15" i="11"/>
  <c r="Q14" i="11"/>
  <c r="P14" i="11"/>
  <c r="O14" i="11"/>
  <c r="Q13" i="11"/>
  <c r="P13" i="11"/>
  <c r="O13" i="11"/>
  <c r="Q12" i="11"/>
  <c r="P12" i="11"/>
  <c r="O12" i="11"/>
  <c r="Q11" i="11"/>
  <c r="P11" i="11"/>
  <c r="O11" i="11"/>
  <c r="Q10" i="11"/>
  <c r="P10" i="11"/>
  <c r="O10" i="11"/>
  <c r="Q9" i="11"/>
  <c r="P9" i="11"/>
  <c r="O9" i="11"/>
  <c r="Q8" i="11"/>
  <c r="P8" i="11"/>
  <c r="O8" i="11"/>
  <c r="Q7" i="11"/>
  <c r="P7" i="11"/>
  <c r="O7" i="11"/>
  <c r="Q6" i="11"/>
  <c r="P6" i="11"/>
  <c r="O6" i="11"/>
  <c r="N5" i="11"/>
  <c r="M5" i="11"/>
  <c r="L5" i="11"/>
  <c r="K5" i="11"/>
  <c r="J5" i="11"/>
  <c r="I5" i="11"/>
  <c r="H5" i="11"/>
  <c r="G5" i="11"/>
  <c r="F5" i="11"/>
  <c r="E5" i="11"/>
  <c r="D5" i="11"/>
  <c r="C5" i="11"/>
  <c r="Q29" i="10"/>
  <c r="P29" i="10"/>
  <c r="O29" i="10"/>
  <c r="Q28" i="10"/>
  <c r="P28" i="10"/>
  <c r="O28" i="10"/>
  <c r="Q27" i="10"/>
  <c r="P27" i="10"/>
  <c r="Q26" i="10"/>
  <c r="P26" i="10"/>
  <c r="O26" i="10"/>
  <c r="Q25" i="10"/>
  <c r="P25" i="10"/>
  <c r="O25" i="10"/>
  <c r="Q24" i="10"/>
  <c r="P24" i="10"/>
  <c r="O24" i="10"/>
  <c r="Q23" i="10"/>
  <c r="P23" i="10"/>
  <c r="O23" i="10"/>
  <c r="Q22" i="10"/>
  <c r="P22" i="10"/>
  <c r="O22" i="10"/>
  <c r="Q21" i="10"/>
  <c r="P21" i="10"/>
  <c r="O21" i="10"/>
  <c r="Q20" i="10"/>
  <c r="P20" i="10"/>
  <c r="O20" i="10"/>
  <c r="Q19" i="10"/>
  <c r="P19" i="10"/>
  <c r="O19" i="10"/>
  <c r="Q18" i="10"/>
  <c r="P18" i="10"/>
  <c r="O18" i="10"/>
  <c r="Q17" i="10"/>
  <c r="P17" i="10"/>
  <c r="O17" i="10"/>
  <c r="Q16" i="10"/>
  <c r="P16" i="10"/>
  <c r="O16" i="10"/>
  <c r="Q15" i="10"/>
  <c r="P15" i="10"/>
  <c r="O15" i="10"/>
  <c r="Q14" i="10"/>
  <c r="P14" i="10"/>
  <c r="O14" i="10"/>
  <c r="Q13" i="10"/>
  <c r="P13" i="10"/>
  <c r="O13" i="10"/>
  <c r="Q12" i="10"/>
  <c r="P12" i="10"/>
  <c r="O12" i="10"/>
  <c r="Q11" i="10"/>
  <c r="P11" i="10"/>
  <c r="O11" i="10"/>
  <c r="Q10" i="10"/>
  <c r="P10" i="10"/>
  <c r="O10" i="10"/>
  <c r="Q9" i="10"/>
  <c r="P9" i="10"/>
  <c r="O9" i="10"/>
  <c r="Q8" i="10"/>
  <c r="P8" i="10"/>
  <c r="O8" i="10"/>
  <c r="Q7" i="10"/>
  <c r="P7" i="10"/>
  <c r="O7" i="10"/>
  <c r="Q6" i="10"/>
  <c r="P6" i="10"/>
  <c r="O6" i="10"/>
  <c r="N5" i="10"/>
  <c r="M5" i="10"/>
  <c r="L5" i="10"/>
  <c r="K5" i="10"/>
  <c r="J5" i="10"/>
  <c r="I5" i="10"/>
  <c r="H5" i="10"/>
  <c r="G5" i="10"/>
  <c r="F5" i="10"/>
  <c r="E5" i="10"/>
  <c r="D5" i="10"/>
  <c r="C5" i="10"/>
  <c r="Q29" i="9"/>
  <c r="P29" i="9"/>
  <c r="O29" i="9"/>
  <c r="Q28" i="9"/>
  <c r="P28" i="9"/>
  <c r="O28" i="9"/>
  <c r="Q27" i="9"/>
  <c r="P27" i="9"/>
  <c r="Q26" i="9"/>
  <c r="P26" i="9"/>
  <c r="O26" i="9"/>
  <c r="Q25" i="9"/>
  <c r="P25" i="9"/>
  <c r="O25" i="9"/>
  <c r="Q24" i="9"/>
  <c r="P24" i="9"/>
  <c r="O24" i="9"/>
  <c r="Q23" i="9"/>
  <c r="P23" i="9"/>
  <c r="O23" i="9"/>
  <c r="Q22" i="9"/>
  <c r="P22" i="9"/>
  <c r="O22" i="9"/>
  <c r="Q21" i="9"/>
  <c r="P21" i="9"/>
  <c r="O21" i="9"/>
  <c r="Q20" i="9"/>
  <c r="P20" i="9"/>
  <c r="O20" i="9"/>
  <c r="Q19" i="9"/>
  <c r="P19" i="9"/>
  <c r="O19" i="9"/>
  <c r="Q18" i="9"/>
  <c r="P18" i="9"/>
  <c r="O18" i="9"/>
  <c r="Q17" i="9"/>
  <c r="P17" i="9"/>
  <c r="O17" i="9"/>
  <c r="Q16" i="9"/>
  <c r="P16" i="9"/>
  <c r="O16" i="9"/>
  <c r="Q15" i="9"/>
  <c r="P15" i="9"/>
  <c r="O15" i="9"/>
  <c r="Q14" i="9"/>
  <c r="P14" i="9"/>
  <c r="O14" i="9"/>
  <c r="Q13" i="9"/>
  <c r="P13" i="9"/>
  <c r="O13" i="9"/>
  <c r="Q12" i="9"/>
  <c r="P12" i="9"/>
  <c r="O12" i="9"/>
  <c r="Q11" i="9"/>
  <c r="P11" i="9"/>
  <c r="O11" i="9"/>
  <c r="Q10" i="9"/>
  <c r="P10" i="9"/>
  <c r="O10" i="9"/>
  <c r="Q9" i="9"/>
  <c r="P9" i="9"/>
  <c r="O9" i="9"/>
  <c r="Q8" i="9"/>
  <c r="P8" i="9"/>
  <c r="O8" i="9"/>
  <c r="Q7" i="9"/>
  <c r="P7" i="9"/>
  <c r="O7" i="9"/>
  <c r="Q6" i="9"/>
  <c r="P6" i="9"/>
  <c r="O6" i="9"/>
  <c r="N5" i="9"/>
  <c r="M5" i="9"/>
  <c r="L5" i="9"/>
  <c r="K5" i="9"/>
  <c r="J5" i="9"/>
  <c r="I5" i="9"/>
  <c r="H5" i="9"/>
  <c r="G5" i="9"/>
  <c r="F5" i="9"/>
  <c r="E5" i="9"/>
  <c r="D5" i="9"/>
  <c r="C5" i="9"/>
  <c r="Q29" i="8"/>
  <c r="P29" i="8"/>
  <c r="O29" i="8"/>
  <c r="Q28" i="8"/>
  <c r="P28" i="8"/>
  <c r="O28" i="8"/>
  <c r="Q27" i="8"/>
  <c r="P27" i="8"/>
  <c r="Q26" i="8"/>
  <c r="P26" i="8"/>
  <c r="O26" i="8"/>
  <c r="Q25" i="8"/>
  <c r="P25" i="8"/>
  <c r="O25" i="8"/>
  <c r="Q24" i="8"/>
  <c r="P24" i="8"/>
  <c r="O24" i="8"/>
  <c r="Q23" i="8"/>
  <c r="P23" i="8"/>
  <c r="O23" i="8"/>
  <c r="Q22" i="8"/>
  <c r="P22" i="8"/>
  <c r="O22" i="8"/>
  <c r="Q21" i="8"/>
  <c r="P21" i="8"/>
  <c r="O21" i="8"/>
  <c r="Q20" i="8"/>
  <c r="P20" i="8"/>
  <c r="O20" i="8"/>
  <c r="Q19" i="8"/>
  <c r="P19" i="8"/>
  <c r="O19" i="8"/>
  <c r="Q18" i="8"/>
  <c r="P18" i="8"/>
  <c r="O18" i="8"/>
  <c r="Q17" i="8"/>
  <c r="P17" i="8"/>
  <c r="O17" i="8"/>
  <c r="Q16" i="8"/>
  <c r="P16" i="8"/>
  <c r="O16" i="8"/>
  <c r="Q15" i="8"/>
  <c r="P15" i="8"/>
  <c r="O15" i="8"/>
  <c r="Q14" i="8"/>
  <c r="P14" i="8"/>
  <c r="O14" i="8"/>
  <c r="Q13" i="8"/>
  <c r="P13" i="8"/>
  <c r="O13" i="8"/>
  <c r="Q12" i="8"/>
  <c r="P12" i="8"/>
  <c r="O12" i="8"/>
  <c r="Q11" i="8"/>
  <c r="P11" i="8"/>
  <c r="O11" i="8"/>
  <c r="Q10" i="8"/>
  <c r="P10" i="8"/>
  <c r="O10" i="8"/>
  <c r="Q9" i="8"/>
  <c r="P9" i="8"/>
  <c r="O9" i="8"/>
  <c r="Q8" i="8"/>
  <c r="P8" i="8"/>
  <c r="O8" i="8"/>
  <c r="Q7" i="8"/>
  <c r="P7" i="8"/>
  <c r="O7" i="8"/>
  <c r="Q6" i="8"/>
  <c r="P6" i="8"/>
  <c r="O6" i="8"/>
  <c r="N5" i="8"/>
  <c r="M5" i="8"/>
  <c r="L5" i="8"/>
  <c r="K5" i="8"/>
  <c r="J5" i="8"/>
  <c r="I5" i="8"/>
  <c r="H5" i="8"/>
  <c r="G5" i="8"/>
  <c r="F5" i="8"/>
  <c r="E5" i="8"/>
  <c r="D5" i="8"/>
  <c r="C5" i="8"/>
  <c r="Q29" i="7"/>
  <c r="P29" i="7"/>
  <c r="O29" i="7"/>
  <c r="Q28" i="7"/>
  <c r="P28" i="7"/>
  <c r="O28" i="7"/>
  <c r="Q27" i="7"/>
  <c r="P27" i="7"/>
  <c r="Q26" i="7"/>
  <c r="P26" i="7"/>
  <c r="O26" i="7"/>
  <c r="Q25" i="7"/>
  <c r="P25" i="7"/>
  <c r="O25" i="7"/>
  <c r="Q24" i="7"/>
  <c r="P24" i="7"/>
  <c r="O24" i="7"/>
  <c r="Q23" i="7"/>
  <c r="P23" i="7"/>
  <c r="O23" i="7"/>
  <c r="Q22" i="7"/>
  <c r="P22" i="7"/>
  <c r="O22" i="7"/>
  <c r="Q21" i="7"/>
  <c r="P21" i="7"/>
  <c r="O21" i="7"/>
  <c r="Q20" i="7"/>
  <c r="P20" i="7"/>
  <c r="O20" i="7"/>
  <c r="Q19" i="7"/>
  <c r="P19" i="7"/>
  <c r="O19" i="7"/>
  <c r="Q18" i="7"/>
  <c r="P18" i="7"/>
  <c r="O18" i="7"/>
  <c r="Q17" i="7"/>
  <c r="P17" i="7"/>
  <c r="O17" i="7"/>
  <c r="Q16" i="7"/>
  <c r="P16" i="7"/>
  <c r="O16" i="7"/>
  <c r="Q15" i="7"/>
  <c r="P15" i="7"/>
  <c r="O15" i="7"/>
  <c r="Q14" i="7"/>
  <c r="P14" i="7"/>
  <c r="O14" i="7"/>
  <c r="Q13" i="7"/>
  <c r="P13" i="7"/>
  <c r="O13" i="7"/>
  <c r="Q12" i="7"/>
  <c r="P12" i="7"/>
  <c r="O12" i="7"/>
  <c r="Q11" i="7"/>
  <c r="P11" i="7"/>
  <c r="O11" i="7"/>
  <c r="Q10" i="7"/>
  <c r="P10" i="7"/>
  <c r="O10" i="7"/>
  <c r="Q9" i="7"/>
  <c r="P9" i="7"/>
  <c r="O9" i="7"/>
  <c r="Q8" i="7"/>
  <c r="P8" i="7"/>
  <c r="O8" i="7"/>
  <c r="Q7" i="7"/>
  <c r="P7" i="7"/>
  <c r="O7" i="7"/>
  <c r="Q6" i="7"/>
  <c r="P6" i="7"/>
  <c r="O6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Q29" i="6"/>
  <c r="P29" i="6"/>
  <c r="O29" i="6"/>
  <c r="Q28" i="6"/>
  <c r="P28" i="6"/>
  <c r="O28" i="6"/>
  <c r="Q27" i="6"/>
  <c r="P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1" i="6"/>
  <c r="P21" i="6"/>
  <c r="O21" i="6"/>
  <c r="Q20" i="6"/>
  <c r="P20" i="6"/>
  <c r="O20" i="6"/>
  <c r="Q19" i="6"/>
  <c r="P19" i="6"/>
  <c r="O19" i="6"/>
  <c r="Q18" i="6"/>
  <c r="P18" i="6"/>
  <c r="O18" i="6"/>
  <c r="Q17" i="6"/>
  <c r="P17" i="6"/>
  <c r="O17" i="6"/>
  <c r="Q16" i="6"/>
  <c r="P16" i="6"/>
  <c r="O16" i="6"/>
  <c r="Q15" i="6"/>
  <c r="P15" i="6"/>
  <c r="O15" i="6"/>
  <c r="Q14" i="6"/>
  <c r="P14" i="6"/>
  <c r="O14" i="6"/>
  <c r="Q13" i="6"/>
  <c r="P13" i="6"/>
  <c r="O13" i="6"/>
  <c r="Q12" i="6"/>
  <c r="P12" i="6"/>
  <c r="O12" i="6"/>
  <c r="Q11" i="6"/>
  <c r="P11" i="6"/>
  <c r="O11" i="6"/>
  <c r="Q10" i="6"/>
  <c r="P10" i="6"/>
  <c r="O10" i="6"/>
  <c r="Q9" i="6"/>
  <c r="P9" i="6"/>
  <c r="O9" i="6"/>
  <c r="Q8" i="6"/>
  <c r="P8" i="6"/>
  <c r="O8" i="6"/>
  <c r="Q7" i="6"/>
  <c r="P7" i="6"/>
  <c r="O7" i="6"/>
  <c r="Q6" i="6"/>
  <c r="P6" i="6"/>
  <c r="O6" i="6"/>
  <c r="N5" i="6"/>
  <c r="M5" i="6"/>
  <c r="L5" i="6"/>
  <c r="K5" i="6"/>
  <c r="J5" i="6"/>
  <c r="I5" i="6"/>
  <c r="H5" i="6"/>
  <c r="G5" i="6"/>
  <c r="F5" i="6"/>
  <c r="E5" i="6"/>
  <c r="D5" i="6"/>
  <c r="C5" i="6"/>
  <c r="Q29" i="5"/>
  <c r="P29" i="5"/>
  <c r="O29" i="5"/>
  <c r="Q28" i="5"/>
  <c r="P28" i="5"/>
  <c r="O28" i="5"/>
  <c r="Q27" i="5"/>
  <c r="P27" i="5"/>
  <c r="Q26" i="5"/>
  <c r="P26" i="5"/>
  <c r="O26" i="5"/>
  <c r="Q25" i="5"/>
  <c r="P25" i="5"/>
  <c r="O25" i="5"/>
  <c r="Q24" i="5"/>
  <c r="P24" i="5"/>
  <c r="O24" i="5"/>
  <c r="Q23" i="5"/>
  <c r="P23" i="5"/>
  <c r="O23" i="5"/>
  <c r="Q22" i="5"/>
  <c r="P22" i="5"/>
  <c r="O22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Q9" i="5"/>
  <c r="P9" i="5"/>
  <c r="O9" i="5"/>
  <c r="Q8" i="5"/>
  <c r="P8" i="5"/>
  <c r="O8" i="5"/>
  <c r="Q7" i="5"/>
  <c r="P7" i="5"/>
  <c r="O7" i="5"/>
  <c r="Q6" i="5"/>
  <c r="P6" i="5"/>
  <c r="O6" i="5"/>
  <c r="N5" i="5"/>
  <c r="M5" i="5"/>
  <c r="L5" i="5"/>
  <c r="K5" i="5"/>
  <c r="J5" i="5"/>
  <c r="I5" i="5"/>
  <c r="H5" i="5"/>
  <c r="G5" i="5"/>
  <c r="F5" i="5"/>
  <c r="E5" i="5"/>
  <c r="D5" i="5"/>
  <c r="C5" i="5"/>
  <c r="Q29" i="4"/>
  <c r="P29" i="4"/>
  <c r="O29" i="4"/>
  <c r="Q28" i="4"/>
  <c r="P28" i="4"/>
  <c r="O28" i="4"/>
  <c r="Q27" i="4"/>
  <c r="P27" i="4"/>
  <c r="Q26" i="4"/>
  <c r="P26" i="4"/>
  <c r="O26" i="4"/>
  <c r="Q25" i="4"/>
  <c r="P25" i="4"/>
  <c r="O25" i="4"/>
  <c r="Q24" i="4"/>
  <c r="P24" i="4"/>
  <c r="O24" i="4"/>
  <c r="Q23" i="4"/>
  <c r="P23" i="4"/>
  <c r="O23" i="4"/>
  <c r="Q22" i="4"/>
  <c r="P22" i="4"/>
  <c r="O22" i="4"/>
  <c r="Q21" i="4"/>
  <c r="P21" i="4"/>
  <c r="O21" i="4"/>
  <c r="Q20" i="4"/>
  <c r="P20" i="4"/>
  <c r="O20" i="4"/>
  <c r="Q19" i="4"/>
  <c r="P19" i="4"/>
  <c r="O19" i="4"/>
  <c r="Q18" i="4"/>
  <c r="P18" i="4"/>
  <c r="O18" i="4"/>
  <c r="Q17" i="4"/>
  <c r="P17" i="4"/>
  <c r="O17" i="4"/>
  <c r="Q16" i="4"/>
  <c r="P16" i="4"/>
  <c r="O16" i="4"/>
  <c r="Q15" i="4"/>
  <c r="P15" i="4"/>
  <c r="O15" i="4"/>
  <c r="Q14" i="4"/>
  <c r="P14" i="4"/>
  <c r="O14" i="4"/>
  <c r="Q13" i="4"/>
  <c r="P13" i="4"/>
  <c r="O13" i="4"/>
  <c r="Q12" i="4"/>
  <c r="P12" i="4"/>
  <c r="O12" i="4"/>
  <c r="Q11" i="4"/>
  <c r="P11" i="4"/>
  <c r="O11" i="4"/>
  <c r="Q10" i="4"/>
  <c r="P10" i="4"/>
  <c r="O10" i="4"/>
  <c r="Q9" i="4"/>
  <c r="P9" i="4"/>
  <c r="O9" i="4"/>
  <c r="Q8" i="4"/>
  <c r="P8" i="4"/>
  <c r="O8" i="4"/>
  <c r="Q7" i="4"/>
  <c r="P7" i="4"/>
  <c r="O7" i="4"/>
  <c r="Q6" i="4"/>
  <c r="P6" i="4"/>
  <c r="O6" i="4"/>
  <c r="N5" i="4"/>
  <c r="M5" i="4"/>
  <c r="L5" i="4"/>
  <c r="K5" i="4"/>
  <c r="J5" i="4"/>
  <c r="I5" i="4"/>
  <c r="H5" i="4"/>
  <c r="G5" i="4"/>
  <c r="F5" i="4"/>
  <c r="E5" i="4"/>
  <c r="D5" i="4"/>
  <c r="C5" i="4"/>
  <c r="Q29" i="3"/>
  <c r="P29" i="3"/>
  <c r="O29" i="3"/>
  <c r="Q28" i="3"/>
  <c r="P28" i="3"/>
  <c r="O28" i="3"/>
  <c r="Q27" i="3"/>
  <c r="P27" i="3"/>
  <c r="O27" i="3"/>
  <c r="Q26" i="3"/>
  <c r="P26" i="3"/>
  <c r="O26" i="3"/>
  <c r="Q25" i="3"/>
  <c r="P25" i="3"/>
  <c r="O25" i="3"/>
  <c r="Q24" i="3"/>
  <c r="P24" i="3"/>
  <c r="O24" i="3"/>
  <c r="Q23" i="3"/>
  <c r="P23" i="3"/>
  <c r="O23" i="3"/>
  <c r="Q22" i="3"/>
  <c r="P22" i="3"/>
  <c r="O22" i="3"/>
  <c r="Q21" i="3"/>
  <c r="P21" i="3"/>
  <c r="O21" i="3"/>
  <c r="Q20" i="3"/>
  <c r="P20" i="3"/>
  <c r="O20" i="3"/>
  <c r="Q19" i="3"/>
  <c r="P19" i="3"/>
  <c r="O19" i="3"/>
  <c r="Q18" i="3"/>
  <c r="P18" i="3"/>
  <c r="O18" i="3"/>
  <c r="Q17" i="3"/>
  <c r="P17" i="3"/>
  <c r="O17" i="3"/>
  <c r="Q16" i="3"/>
  <c r="P16" i="3"/>
  <c r="O16" i="3"/>
  <c r="Q15" i="3"/>
  <c r="P15" i="3"/>
  <c r="O15" i="3"/>
  <c r="Q14" i="3"/>
  <c r="P14" i="3"/>
  <c r="O14" i="3"/>
  <c r="Q13" i="3"/>
  <c r="P13" i="3"/>
  <c r="O13" i="3"/>
  <c r="Q12" i="3"/>
  <c r="P12" i="3"/>
  <c r="O12" i="3"/>
  <c r="Q11" i="3"/>
  <c r="P11" i="3"/>
  <c r="O11" i="3"/>
  <c r="Q10" i="3"/>
  <c r="P10" i="3"/>
  <c r="O10" i="3"/>
  <c r="Q9" i="3"/>
  <c r="P9" i="3"/>
  <c r="O9" i="3"/>
  <c r="Q8" i="3"/>
  <c r="P8" i="3"/>
  <c r="O8" i="3"/>
  <c r="Q7" i="3"/>
  <c r="P7" i="3"/>
  <c r="O7" i="3"/>
  <c r="Q6" i="3"/>
  <c r="P6" i="3"/>
  <c r="O6" i="3"/>
  <c r="Q5" i="3"/>
  <c r="P5" i="3"/>
  <c r="O5" i="3"/>
  <c r="Q29" i="2"/>
  <c r="P29" i="2"/>
  <c r="O29" i="2"/>
  <c r="Q28" i="2"/>
  <c r="P28" i="2"/>
  <c r="O28" i="2"/>
  <c r="Q27" i="2"/>
  <c r="P27" i="2"/>
  <c r="O27" i="2"/>
  <c r="Q26" i="2"/>
  <c r="P26" i="2"/>
  <c r="O26" i="2"/>
  <c r="Q25" i="2"/>
  <c r="P25" i="2"/>
  <c r="O25" i="2"/>
  <c r="Q24" i="2"/>
  <c r="P24" i="2"/>
  <c r="O24" i="2"/>
  <c r="Q23" i="2"/>
  <c r="P23" i="2"/>
  <c r="O23" i="2"/>
  <c r="Q22" i="2"/>
  <c r="P22" i="2"/>
  <c r="O22" i="2"/>
  <c r="Q21" i="2"/>
  <c r="P21" i="2"/>
  <c r="O21" i="2"/>
  <c r="Q20" i="2"/>
  <c r="P20" i="2"/>
  <c r="O20" i="2"/>
  <c r="Q19" i="2"/>
  <c r="P19" i="2"/>
  <c r="O19" i="2"/>
  <c r="Q18" i="2"/>
  <c r="P18" i="2"/>
  <c r="O18" i="2"/>
  <c r="Q17" i="2"/>
  <c r="P17" i="2"/>
  <c r="O17" i="2"/>
  <c r="Q16" i="2"/>
  <c r="P16" i="2"/>
  <c r="O16" i="2"/>
  <c r="Q15" i="2"/>
  <c r="P15" i="2"/>
  <c r="O15" i="2"/>
  <c r="Q14" i="2"/>
  <c r="P14" i="2"/>
  <c r="O14" i="2"/>
  <c r="Q13" i="2"/>
  <c r="P13" i="2"/>
  <c r="O13" i="2"/>
  <c r="Q12" i="2"/>
  <c r="P12" i="2"/>
  <c r="O12" i="2"/>
  <c r="Q11" i="2"/>
  <c r="P11" i="2"/>
  <c r="O11" i="2"/>
  <c r="Q10" i="2"/>
  <c r="P10" i="2"/>
  <c r="O10" i="2"/>
  <c r="Q9" i="2"/>
  <c r="P9" i="2"/>
  <c r="O9" i="2"/>
  <c r="Q8" i="2"/>
  <c r="P8" i="2"/>
  <c r="O8" i="2"/>
  <c r="Q7" i="2"/>
  <c r="P7" i="2"/>
  <c r="O7" i="2"/>
  <c r="Q6" i="2"/>
  <c r="P6" i="2"/>
  <c r="O6" i="2"/>
  <c r="Q5" i="2"/>
  <c r="P5" i="2"/>
  <c r="O5" i="2"/>
  <c r="P5" i="11" l="1"/>
  <c r="O5" i="10"/>
  <c r="Q5" i="7"/>
  <c r="Q5" i="6"/>
  <c r="Q5" i="10"/>
  <c r="Q5" i="9"/>
  <c r="P5" i="9"/>
  <c r="O5" i="9"/>
  <c r="Q5" i="8"/>
  <c r="Q5" i="5"/>
  <c r="P5" i="8"/>
  <c r="P5" i="6"/>
  <c r="O5" i="5"/>
  <c r="Q5" i="4"/>
  <c r="P5" i="4"/>
  <c r="O5" i="4"/>
  <c r="P5" i="5"/>
  <c r="Q5" i="11"/>
  <c r="O5" i="11"/>
  <c r="P5" i="10"/>
  <c r="O5" i="8"/>
  <c r="O5" i="6"/>
</calcChain>
</file>

<file path=xl/sharedStrings.xml><?xml version="1.0" encoding="utf-8"?>
<sst xmlns="http://schemas.openxmlformats.org/spreadsheetml/2006/main" count="1027" uniqueCount="72">
  <si>
    <t>黄色欄は月内に欠測週があり欠測扱い。</t>
  </si>
  <si>
    <t>乾性沈着　欠測率（平成11年度）</t>
  </si>
  <si>
    <t>単位：　%</t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</si>
  <si>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</si>
  <si>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</si>
  <si>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</si>
  <si>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</si>
  <si>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</si>
  <si>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</si>
  <si>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</si>
  <si>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</si>
  <si>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</si>
  <si>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</si>
  <si>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</si>
  <si>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</si>
  <si>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</si>
  <si>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最大値</t>
  </si>
  <si>
    <t>最小値</t>
  </si>
  <si>
    <t>年平均値</t>
  </si>
  <si>
    <t>札幌北</t>
  </si>
  <si>
    <t>札幌白石</t>
  </si>
  <si>
    <t>----</t>
  </si>
  <si>
    <t>八森</t>
  </si>
  <si>
    <t>盛岡</t>
  </si>
  <si>
    <t>新潟</t>
  </si>
  <si>
    <t>江東</t>
  </si>
  <si>
    <t>磯子</t>
  </si>
  <si>
    <t>6月の終了、7月の開始1週間前倒し。8月の終了、9月の開始1週間前倒し。9月の終了、10月の開始1週間前倒し。11月の終了、12月の開始1週間前倒し。12月の終了、1月の開始8日前倒し。2月の終了、3月の開始1週間前倒し。</t>
  </si>
  <si>
    <t>小杉</t>
  </si>
  <si>
    <t>福井</t>
  </si>
  <si>
    <t>10月の終了、11月の開始1日遅れ。2月の終了、3月の開始3日前倒し。</t>
  </si>
  <si>
    <t>豊橋</t>
  </si>
  <si>
    <t>緑</t>
  </si>
  <si>
    <t>10月の終了、11月の開始1日遅れ。</t>
  </si>
  <si>
    <t>周山</t>
  </si>
  <si>
    <t>池田</t>
  </si>
  <si>
    <t>大阪生野</t>
  </si>
  <si>
    <t>奈良</t>
  </si>
  <si>
    <t>神戸須磨</t>
  </si>
  <si>
    <t>鳥取</t>
  </si>
  <si>
    <t>松江</t>
  </si>
  <si>
    <t>倉橋島</t>
  </si>
  <si>
    <t>5月の調査開始18日遅れ。5月の終了、6月の開始1週間遅れ。8月の終了、9月の開始1週間前倒し。9月の終了、10月の開始1週間前倒し。10月の終了、11月の開始1週間前倒し。11月の終了、12月の開始2週間前倒し。12月の終了、1月の開始15日前倒し。2月の終了、3月の開始3日前倒し。3月の調査終了1週間前倒し。</t>
  </si>
  <si>
    <t>広島安佐南</t>
  </si>
  <si>
    <t>10月の終了、11月の開始1週間前倒し。11月の終了、12月の開始1週間前倒し。12月の終了、1月の開始15日前倒し。1月の終了、2月の開始1週間前倒し。2月の終了、3月の開始12日前倒し。3月の調査終了13日前倒し。</t>
  </si>
  <si>
    <t>石井</t>
  </si>
  <si>
    <t>11月の調査開始24日遅れ。11月の終了、12月の開始1週間前倒し。12月の終了、1月の開始15日前倒し。1月の終了、2月の開始1週間前倒し。2月の終了、3月の開始12日前倒し。3月の終了13日前倒し。</t>
  </si>
  <si>
    <t>太宰府</t>
  </si>
  <si>
    <t>福岡</t>
  </si>
  <si>
    <t>6月の調査開始4週間遅れ。5月の終了、6月の開始1週間遅れ。8月の終了、9月の開始1週間前倒し。9月の終了、10月の開始1週間前倒し。10月の終了、11月の開始1週間前倒し。11月の終了、12月の開始2週間前倒し。12月の終了、1月の開始15日前倒し。2月の終了、3月の開始3日前倒し。3月の調査終了1週間前倒し。</t>
  </si>
  <si>
    <t>大分</t>
  </si>
  <si>
    <t>5月の調査開始4日遅れ。5月の終了、6月の開始1週間遅れ。8月の終了1週間前倒し。</t>
  </si>
  <si>
    <t>喜入</t>
  </si>
  <si>
    <t>11月の終了、12月の開始5日前倒し。12月の終了、1月の開始1日遅れ。</t>
  </si>
  <si>
    <t>乾性沈着　月採気量　・年平均値（平成11年度）</t>
  </si>
  <si>
    <r>
      <rPr>
        <sz val="11"/>
        <color theme="1"/>
        <rFont val="MS PGothic"/>
        <family val="3"/>
        <charset val="128"/>
      </rPr>
      <t>単位：　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</si>
  <si>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SO</t>
    </r>
    <r>
      <rPr>
        <vertAlign val="subscript"/>
        <sz val="16"/>
        <color theme="1"/>
        <rFont val="ＭＳ Ｐゴシック"/>
        <family val="3"/>
        <charset val="128"/>
      </rPr>
      <t>4</t>
    </r>
    <r>
      <rPr>
        <vertAlign val="superscript"/>
        <sz val="16"/>
        <color theme="1"/>
        <rFont val="ＭＳ Ｐゴシック"/>
        <family val="3"/>
        <charset val="128"/>
      </rPr>
      <t>2-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</si>
  <si>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</si>
  <si>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NO</t>
    </r>
    <r>
      <rPr>
        <vertAlign val="subscript"/>
        <sz val="16"/>
        <color theme="1"/>
        <rFont val="ＭＳ Ｐゴシック"/>
        <family val="3"/>
        <charset val="128"/>
      </rPr>
      <t>3</t>
    </r>
    <r>
      <rPr>
        <vertAlign val="superscript"/>
        <sz val="16"/>
        <color theme="1"/>
        <rFont val="ＭＳ Ｐゴシック"/>
        <family val="3"/>
        <charset val="128"/>
      </rPr>
      <t>-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</si>
  <si>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</si>
  <si>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Cl</t>
    </r>
    <r>
      <rPr>
        <vertAlign val="superscript"/>
        <sz val="16"/>
        <color theme="1"/>
        <rFont val="ＭＳ Ｐゴシック"/>
        <family val="3"/>
        <charset val="128"/>
      </rPr>
      <t>-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</si>
  <si>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</si>
  <si>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NH</t>
    </r>
    <r>
      <rPr>
        <vertAlign val="subscript"/>
        <sz val="16"/>
        <color theme="1"/>
        <rFont val="ＭＳ Ｐゴシック"/>
        <family val="3"/>
        <charset val="128"/>
      </rPr>
      <t>4</t>
    </r>
    <r>
      <rPr>
        <vertAlign val="superscript"/>
        <sz val="16"/>
        <color theme="1"/>
        <rFont val="ＭＳ Ｐゴシック"/>
        <family val="3"/>
        <charset val="128"/>
      </rPr>
      <t>+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</si>
  <si>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</si>
  <si>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Na</t>
    </r>
    <r>
      <rPr>
        <vertAlign val="superscript"/>
        <sz val="16"/>
        <color theme="1"/>
        <rFont val="ＭＳ Ｐゴシック"/>
        <family val="3"/>
        <charset val="128"/>
      </rPr>
      <t>+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</si>
  <si>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</si>
  <si>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K</t>
    </r>
    <r>
      <rPr>
        <vertAlign val="superscript"/>
        <sz val="16"/>
        <color theme="1"/>
        <rFont val="ＭＳ Ｐゴシック"/>
        <family val="3"/>
        <charset val="128"/>
      </rPr>
      <t>+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</si>
  <si>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</si>
  <si>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Ca</t>
    </r>
    <r>
      <rPr>
        <vertAlign val="superscript"/>
        <sz val="16"/>
        <color theme="1"/>
        <rFont val="ＭＳ Ｐゴシック"/>
        <family val="3"/>
        <charset val="128"/>
      </rPr>
      <t>2+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</si>
  <si>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</si>
  <si>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Mg</t>
    </r>
    <r>
      <rPr>
        <vertAlign val="superscript"/>
        <sz val="16"/>
        <color theme="1"/>
        <rFont val="ＭＳ Ｐゴシック"/>
        <family val="3"/>
        <charset val="128"/>
      </rPr>
      <t>2+</t>
    </r>
    <r>
      <rPr>
        <sz val="16"/>
        <color theme="1"/>
        <rFont val="ＭＳ Ｐゴシック"/>
        <family val="3"/>
        <charset val="128"/>
      </rPr>
      <t>粒子濃度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</si>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</sst>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2">
    <font>
      <sz val="11"/>
      <color rgb="FF000000"/>
      <name val="MS PGothic"/>
      <scheme val="minor"/>
    </font>
    <font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1"/>
      <color theme="1"/>
      <name val="ＪＳＰ明朝"/>
      <family val="3"/>
      <charset val="128"/>
    </font>
    <font>
      <sz val="11"/>
      <color theme="1"/>
      <name val="MS PGothic"/>
      <family val="3"/>
      <charset val="128"/>
      <scheme val="minor"/>
    </font>
    <font>
      <sz val="18"/>
      <color theme="1"/>
      <name val="MS PGothic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vertAlign val="superscript"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MS P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177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7" fontId="4" fillId="0" borderId="11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0" fontId="2" fillId="0" borderId="11" xfId="0" applyFont="1" applyBorder="1"/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176" fontId="4" fillId="2" borderId="19" xfId="0" applyNumberFormat="1" applyFont="1" applyFill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2" borderId="21" xfId="0" applyNumberFormat="1" applyFont="1" applyFill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176" fontId="4" fillId="0" borderId="25" xfId="0" applyNumberFormat="1" applyFont="1" applyBorder="1" applyAlignment="1">
      <alignment horizontal="right"/>
    </xf>
    <xf numFmtId="176" fontId="4" fillId="2" borderId="26" xfId="0" applyNumberFormat="1" applyFont="1" applyFill="1" applyBorder="1" applyAlignment="1">
      <alignment horizontal="right"/>
    </xf>
    <xf numFmtId="177" fontId="4" fillId="0" borderId="2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4" xfId="0" applyNumberFormat="1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177" fontId="4" fillId="0" borderId="27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0" fontId="2" fillId="0" borderId="0" xfId="0" applyFont="1"/>
    <xf numFmtId="0" fontId="2" fillId="0" borderId="7" xfId="0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0" fontId="5" fillId="0" borderId="0" xfId="0" applyFont="1"/>
    <xf numFmtId="0" fontId="2" fillId="0" borderId="11" xfId="0" applyFont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center"/>
    </xf>
    <xf numFmtId="176" fontId="4" fillId="0" borderId="30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25" xfId="0" applyNumberFormat="1" applyFont="1" applyBorder="1" applyAlignment="1">
      <alignment horizontal="right"/>
    </xf>
    <xf numFmtId="0" fontId="6" fillId="0" borderId="0" xfId="0" applyFont="1"/>
    <xf numFmtId="176" fontId="4" fillId="2" borderId="33" xfId="0" applyNumberFormat="1" applyFont="1" applyFill="1" applyBorder="1" applyAlignment="1">
      <alignment horizontal="right"/>
    </xf>
    <xf numFmtId="177" fontId="4" fillId="0" borderId="34" xfId="0" applyNumberFormat="1" applyFont="1" applyBorder="1" applyAlignment="1">
      <alignment horizontal="right"/>
    </xf>
    <xf numFmtId="176" fontId="4" fillId="2" borderId="32" xfId="0" applyNumberFormat="1" applyFont="1" applyFill="1" applyBorder="1" applyAlignment="1">
      <alignment horizontal="right"/>
    </xf>
    <xf numFmtId="176" fontId="4" fillId="2" borderId="31" xfId="0" applyNumberFormat="1" applyFont="1" applyFill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2" borderId="35" xfId="0" applyNumberFormat="1" applyFont="1" applyFill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77" fontId="4" fillId="0" borderId="9" xfId="0" applyNumberFormat="1" applyFont="1" applyBorder="1" applyAlignment="1">
      <alignment horizontal="right"/>
    </xf>
    <xf numFmtId="177" fontId="4" fillId="0" borderId="37" xfId="0" applyNumberFormat="1" applyFont="1" applyBorder="1" applyAlignment="1">
      <alignment horizontal="right"/>
    </xf>
    <xf numFmtId="177" fontId="4" fillId="0" borderId="38" xfId="0" applyNumberFormat="1" applyFont="1" applyBorder="1" applyAlignment="1">
      <alignment horizontal="right"/>
    </xf>
    <xf numFmtId="177" fontId="4" fillId="2" borderId="19" xfId="0" applyNumberFormat="1" applyFont="1" applyFill="1" applyBorder="1" applyAlignment="1">
      <alignment horizontal="right"/>
    </xf>
    <xf numFmtId="177" fontId="4" fillId="2" borderId="21" xfId="0" applyNumberFormat="1" applyFont="1" applyFill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2" borderId="26" xfId="0" applyNumberFormat="1" applyFont="1" applyFill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39" xfId="0" applyNumberFormat="1" applyFont="1" applyBorder="1" applyAlignment="1">
      <alignment horizontal="right"/>
    </xf>
    <xf numFmtId="177" fontId="4" fillId="0" borderId="36" xfId="0" applyNumberFormat="1" applyFont="1" applyBorder="1" applyAlignment="1">
      <alignment horizontal="right"/>
    </xf>
    <xf numFmtId="177" fontId="4" fillId="2" borderId="16" xfId="0" applyNumberFormat="1" applyFont="1" applyFill="1" applyBorder="1" applyAlignment="1">
      <alignment horizontal="right"/>
    </xf>
    <xf numFmtId="177" fontId="4" fillId="2" borderId="40" xfId="0" applyNumberFormat="1" applyFont="1" applyFill="1" applyBorder="1" applyAlignment="1">
      <alignment horizontal="right"/>
    </xf>
    <xf numFmtId="177" fontId="4" fillId="2" borderId="41" xfId="0" applyNumberFormat="1" applyFont="1" applyFill="1" applyBorder="1" applyAlignment="1">
      <alignment horizontal="right"/>
    </xf>
    <xf numFmtId="177" fontId="4" fillId="2" borderId="42" xfId="0" applyNumberFormat="1" applyFont="1" applyFill="1" applyBorder="1" applyAlignment="1">
      <alignment horizontal="right"/>
    </xf>
    <xf numFmtId="177" fontId="4" fillId="0" borderId="43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 wrapText="1"/>
    </xf>
    <xf numFmtId="177" fontId="4" fillId="0" borderId="16" xfId="0" applyNumberFormat="1" applyFont="1" applyBorder="1" applyAlignment="1">
      <alignment horizontal="right" shrinkToFit="1"/>
    </xf>
    <xf numFmtId="0" fontId="2" fillId="0" borderId="3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tabSelected="1"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1</v>
      </c>
    </row>
    <row r="3" spans="1:18" ht="19.5" customHeight="1">
      <c r="O3" s="5" t="s">
        <v>2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13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5">
        <v>0</v>
      </c>
      <c r="O5" s="16">
        <f t="shared" ref="O5:O29" si="0">MAX(C5:N5)</f>
        <v>0</v>
      </c>
      <c r="P5" s="17">
        <f t="shared" ref="P5:P29" si="1">MIN(C5:N5)</f>
        <v>0</v>
      </c>
      <c r="Q5" s="18">
        <f t="shared" ref="Q5:Q29" si="2">AVERAGE(C5:N5)</f>
        <v>0</v>
      </c>
    </row>
    <row r="6" spans="1:18" ht="19.5" customHeight="1">
      <c r="A6" s="19">
        <v>2</v>
      </c>
      <c r="B6" s="20" t="s">
        <v>20</v>
      </c>
      <c r="C6" s="21" t="s">
        <v>21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3">
        <v>0</v>
      </c>
      <c r="O6" s="24">
        <f t="shared" si="0"/>
        <v>0</v>
      </c>
      <c r="P6" s="25">
        <f t="shared" si="1"/>
        <v>0</v>
      </c>
      <c r="Q6" s="26">
        <f t="shared" si="2"/>
        <v>0</v>
      </c>
    </row>
    <row r="7" spans="1:18" ht="19.5" customHeight="1">
      <c r="A7" s="27">
        <v>3</v>
      </c>
      <c r="B7" s="20" t="s">
        <v>22</v>
      </c>
      <c r="C7" s="21" t="s">
        <v>21</v>
      </c>
      <c r="D7" s="21" t="s">
        <v>21</v>
      </c>
      <c r="E7" s="22">
        <v>0</v>
      </c>
      <c r="F7" s="21" t="s">
        <v>21</v>
      </c>
      <c r="G7" s="22">
        <v>0</v>
      </c>
      <c r="H7" s="21" t="s">
        <v>21</v>
      </c>
      <c r="I7" s="22">
        <v>0</v>
      </c>
      <c r="J7" s="21" t="s">
        <v>21</v>
      </c>
      <c r="K7" s="21" t="s">
        <v>21</v>
      </c>
      <c r="L7" s="21" t="s">
        <v>21</v>
      </c>
      <c r="M7" s="22">
        <v>0</v>
      </c>
      <c r="N7" s="21" t="s">
        <v>21</v>
      </c>
      <c r="O7" s="24">
        <f t="shared" si="0"/>
        <v>0</v>
      </c>
      <c r="P7" s="25">
        <f t="shared" si="1"/>
        <v>0</v>
      </c>
      <c r="Q7" s="26">
        <f t="shared" si="2"/>
        <v>0</v>
      </c>
    </row>
    <row r="8" spans="1:18" ht="19.5" customHeight="1">
      <c r="A8" s="27">
        <v>4</v>
      </c>
      <c r="B8" s="20" t="s">
        <v>23</v>
      </c>
      <c r="C8" s="21" t="s">
        <v>21</v>
      </c>
      <c r="D8" s="21" t="s">
        <v>21</v>
      </c>
      <c r="E8" s="21" t="s">
        <v>21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3">
        <v>0</v>
      </c>
      <c r="O8" s="24">
        <f t="shared" si="0"/>
        <v>0</v>
      </c>
      <c r="P8" s="25">
        <f t="shared" si="1"/>
        <v>0</v>
      </c>
      <c r="Q8" s="26">
        <f t="shared" si="2"/>
        <v>0</v>
      </c>
    </row>
    <row r="9" spans="1:18" ht="19.5" customHeight="1">
      <c r="A9" s="28">
        <v>5</v>
      </c>
      <c r="B9" s="29" t="s">
        <v>24</v>
      </c>
      <c r="C9" s="30">
        <v>60</v>
      </c>
      <c r="D9" s="31">
        <v>0</v>
      </c>
      <c r="E9" s="32">
        <v>40</v>
      </c>
      <c r="F9" s="31">
        <v>0</v>
      </c>
      <c r="G9" s="31">
        <v>0</v>
      </c>
      <c r="H9" s="31">
        <v>0</v>
      </c>
      <c r="I9" s="32">
        <v>50</v>
      </c>
      <c r="J9" s="31">
        <v>0</v>
      </c>
      <c r="K9" s="31">
        <v>25</v>
      </c>
      <c r="L9" s="31">
        <v>0</v>
      </c>
      <c r="M9" s="31">
        <v>20</v>
      </c>
      <c r="N9" s="33">
        <v>0</v>
      </c>
      <c r="O9" s="34">
        <f t="shared" si="0"/>
        <v>60</v>
      </c>
      <c r="P9" s="35">
        <f t="shared" si="1"/>
        <v>0</v>
      </c>
      <c r="Q9" s="36">
        <f t="shared" si="2"/>
        <v>16.25</v>
      </c>
    </row>
    <row r="10" spans="1:18" ht="19.5" customHeight="1">
      <c r="A10" s="37">
        <v>6</v>
      </c>
      <c r="B10" s="38" t="s">
        <v>25</v>
      </c>
      <c r="C10" s="39">
        <v>0</v>
      </c>
      <c r="D10" s="22">
        <v>0</v>
      </c>
      <c r="E10" s="22">
        <v>0</v>
      </c>
      <c r="F10" s="22">
        <v>0</v>
      </c>
      <c r="G10" s="22">
        <v>0</v>
      </c>
      <c r="H10" s="40">
        <v>40</v>
      </c>
      <c r="I10" s="22">
        <v>0</v>
      </c>
      <c r="J10" s="22">
        <v>20</v>
      </c>
      <c r="K10" s="22">
        <v>0</v>
      </c>
      <c r="L10" s="22">
        <v>0</v>
      </c>
      <c r="M10" s="22">
        <v>0</v>
      </c>
      <c r="N10" s="23">
        <v>25</v>
      </c>
      <c r="O10" s="41">
        <f t="shared" si="0"/>
        <v>40</v>
      </c>
      <c r="P10" s="42">
        <f t="shared" si="1"/>
        <v>0</v>
      </c>
      <c r="Q10" s="43">
        <f t="shared" si="2"/>
        <v>7.083333333333333</v>
      </c>
    </row>
    <row r="11" spans="1:18" ht="19.5" customHeight="1">
      <c r="A11" s="44">
        <v>7</v>
      </c>
      <c r="B11" s="45" t="s">
        <v>26</v>
      </c>
      <c r="C11" s="21" t="s">
        <v>21</v>
      </c>
      <c r="D11" s="21" t="s">
        <v>21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3">
        <v>25</v>
      </c>
      <c r="O11" s="46">
        <f t="shared" si="0"/>
        <v>25</v>
      </c>
      <c r="P11" s="47">
        <f t="shared" si="1"/>
        <v>0</v>
      </c>
      <c r="Q11" s="48">
        <f t="shared" si="2"/>
        <v>2.5</v>
      </c>
      <c r="R11" s="49" t="s">
        <v>27</v>
      </c>
    </row>
    <row r="12" spans="1:18" ht="19.5" customHeight="1">
      <c r="A12" s="50">
        <v>8</v>
      </c>
      <c r="B12" s="12" t="s">
        <v>28</v>
      </c>
      <c r="C12" s="5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5">
        <v>0</v>
      </c>
      <c r="O12" s="16">
        <f t="shared" si="0"/>
        <v>0</v>
      </c>
      <c r="P12" s="17">
        <f t="shared" si="1"/>
        <v>0</v>
      </c>
      <c r="Q12" s="18">
        <f t="shared" si="2"/>
        <v>0</v>
      </c>
    </row>
    <row r="13" spans="1:18" ht="19.5" customHeight="1">
      <c r="A13" s="19">
        <v>9</v>
      </c>
      <c r="B13" s="20" t="s">
        <v>29</v>
      </c>
      <c r="C13" s="39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52">
        <v>0</v>
      </c>
      <c r="O13" s="24">
        <f t="shared" si="0"/>
        <v>0</v>
      </c>
      <c r="P13" s="25">
        <f t="shared" si="1"/>
        <v>0</v>
      </c>
      <c r="Q13" s="26">
        <f t="shared" si="2"/>
        <v>0</v>
      </c>
      <c r="R13" s="53" t="s">
        <v>30</v>
      </c>
    </row>
    <row r="14" spans="1:18" ht="19.5" customHeight="1">
      <c r="A14" s="19">
        <v>10</v>
      </c>
      <c r="B14" s="20" t="s">
        <v>31</v>
      </c>
      <c r="C14" s="39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52">
        <v>0</v>
      </c>
      <c r="O14" s="24">
        <f t="shared" si="0"/>
        <v>0</v>
      </c>
      <c r="P14" s="25">
        <f t="shared" si="1"/>
        <v>0</v>
      </c>
      <c r="Q14" s="26">
        <f t="shared" si="2"/>
        <v>0</v>
      </c>
    </row>
    <row r="15" spans="1:18" ht="19.5" customHeight="1">
      <c r="A15" s="19">
        <v>11</v>
      </c>
      <c r="B15" s="20" t="s">
        <v>32</v>
      </c>
      <c r="C15" s="39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52">
        <v>0</v>
      </c>
      <c r="O15" s="24">
        <f t="shared" si="0"/>
        <v>0</v>
      </c>
      <c r="P15" s="25">
        <f t="shared" si="1"/>
        <v>0</v>
      </c>
      <c r="Q15" s="26">
        <f t="shared" si="2"/>
        <v>0</v>
      </c>
      <c r="R15" s="53" t="s">
        <v>33</v>
      </c>
    </row>
    <row r="16" spans="1:18" ht="19.5" customHeight="1">
      <c r="A16" s="19">
        <v>12</v>
      </c>
      <c r="B16" s="20" t="s">
        <v>34</v>
      </c>
      <c r="C16" s="39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52">
        <v>0</v>
      </c>
      <c r="O16" s="24">
        <f t="shared" si="0"/>
        <v>0</v>
      </c>
      <c r="P16" s="25">
        <f t="shared" si="1"/>
        <v>0</v>
      </c>
      <c r="Q16" s="26">
        <f t="shared" si="2"/>
        <v>0</v>
      </c>
    </row>
    <row r="17" spans="1:18" ht="19.5" customHeight="1">
      <c r="A17" s="19">
        <v>13</v>
      </c>
      <c r="B17" s="20" t="s">
        <v>35</v>
      </c>
      <c r="C17" s="39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52">
        <v>0</v>
      </c>
      <c r="O17" s="24">
        <f t="shared" si="0"/>
        <v>0</v>
      </c>
      <c r="P17" s="25">
        <f t="shared" si="1"/>
        <v>0</v>
      </c>
      <c r="Q17" s="26">
        <f t="shared" si="2"/>
        <v>0</v>
      </c>
    </row>
    <row r="18" spans="1:18" ht="19.5" customHeight="1">
      <c r="A18" s="54">
        <v>14</v>
      </c>
      <c r="B18" s="20" t="s">
        <v>36</v>
      </c>
      <c r="C18" s="21" t="s">
        <v>21</v>
      </c>
      <c r="D18" s="21" t="s">
        <v>21</v>
      </c>
      <c r="E18" s="22">
        <v>0</v>
      </c>
      <c r="F18" s="21" t="s">
        <v>21</v>
      </c>
      <c r="G18" s="21" t="s">
        <v>21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52">
        <v>0</v>
      </c>
      <c r="O18" s="24">
        <f t="shared" si="0"/>
        <v>0</v>
      </c>
      <c r="P18" s="25">
        <f t="shared" si="1"/>
        <v>0</v>
      </c>
      <c r="Q18" s="26">
        <f t="shared" si="2"/>
        <v>0</v>
      </c>
    </row>
    <row r="19" spans="1:18" ht="19.5" customHeight="1">
      <c r="A19" s="19">
        <v>15</v>
      </c>
      <c r="B19" s="20" t="s">
        <v>37</v>
      </c>
      <c r="C19" s="39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52">
        <v>0</v>
      </c>
      <c r="O19" s="24">
        <f t="shared" si="0"/>
        <v>0</v>
      </c>
      <c r="P19" s="25">
        <f t="shared" si="1"/>
        <v>0</v>
      </c>
      <c r="Q19" s="26">
        <f t="shared" si="2"/>
        <v>0</v>
      </c>
    </row>
    <row r="20" spans="1:18" ht="19.5" customHeight="1">
      <c r="A20" s="55">
        <v>16</v>
      </c>
      <c r="B20" s="56" t="s">
        <v>38</v>
      </c>
      <c r="C20" s="57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9">
        <v>0</v>
      </c>
      <c r="O20" s="60">
        <f t="shared" si="0"/>
        <v>0</v>
      </c>
      <c r="P20" s="61">
        <f t="shared" si="1"/>
        <v>0</v>
      </c>
      <c r="Q20" s="62">
        <f t="shared" si="2"/>
        <v>0</v>
      </c>
    </row>
    <row r="21" spans="1:18" ht="19.5" customHeight="1">
      <c r="A21" s="37">
        <v>17</v>
      </c>
      <c r="B21" s="38" t="s">
        <v>39</v>
      </c>
      <c r="C21" s="63" t="s">
        <v>21</v>
      </c>
      <c r="D21" s="63" t="s">
        <v>21</v>
      </c>
      <c r="E21" s="63" t="s">
        <v>21</v>
      </c>
      <c r="F21" s="63" t="s">
        <v>21</v>
      </c>
      <c r="G21" s="63" t="s">
        <v>21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52">
        <v>0</v>
      </c>
      <c r="O21" s="41">
        <f t="shared" si="0"/>
        <v>0</v>
      </c>
      <c r="P21" s="42">
        <f t="shared" si="1"/>
        <v>0</v>
      </c>
      <c r="Q21" s="43">
        <f t="shared" si="2"/>
        <v>0</v>
      </c>
      <c r="R21" s="64"/>
    </row>
    <row r="22" spans="1:18" ht="19.5" customHeight="1">
      <c r="A22" s="19">
        <v>18</v>
      </c>
      <c r="B22" s="20" t="s">
        <v>40</v>
      </c>
      <c r="C22" s="39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52">
        <v>0</v>
      </c>
      <c r="O22" s="24">
        <f t="shared" si="0"/>
        <v>0</v>
      </c>
      <c r="P22" s="25">
        <f t="shared" si="1"/>
        <v>0</v>
      </c>
      <c r="Q22" s="26">
        <f t="shared" si="2"/>
        <v>0</v>
      </c>
    </row>
    <row r="23" spans="1:18" ht="19.5" customHeight="1">
      <c r="A23" s="19">
        <v>19</v>
      </c>
      <c r="B23" s="20" t="s">
        <v>41</v>
      </c>
      <c r="C23" s="21" t="s">
        <v>21</v>
      </c>
      <c r="D23" s="40">
        <v>51.4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52">
        <v>25</v>
      </c>
      <c r="O23" s="24">
        <f t="shared" si="0"/>
        <v>51.4</v>
      </c>
      <c r="P23" s="25">
        <f t="shared" si="1"/>
        <v>0</v>
      </c>
      <c r="Q23" s="26">
        <f t="shared" si="2"/>
        <v>6.9454545454545462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1" t="s">
        <v>21</v>
      </c>
      <c r="E24" s="21" t="s">
        <v>21</v>
      </c>
      <c r="F24" s="21" t="s">
        <v>21</v>
      </c>
      <c r="G24" s="21" t="s">
        <v>21</v>
      </c>
      <c r="H24" s="21" t="s">
        <v>21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65">
        <v>50</v>
      </c>
      <c r="O24" s="24">
        <f t="shared" si="0"/>
        <v>50</v>
      </c>
      <c r="P24" s="25">
        <f t="shared" si="1"/>
        <v>0</v>
      </c>
      <c r="Q24" s="26">
        <f t="shared" si="2"/>
        <v>8.3333333333333339</v>
      </c>
      <c r="R24" s="49" t="s">
        <v>44</v>
      </c>
    </row>
    <row r="25" spans="1:18" ht="19.5" customHeight="1">
      <c r="A25" s="44">
        <v>21</v>
      </c>
      <c r="B25" s="45" t="s">
        <v>45</v>
      </c>
      <c r="C25" s="60" t="s">
        <v>21</v>
      </c>
      <c r="D25" s="66" t="s">
        <v>21</v>
      </c>
      <c r="E25" s="66" t="s">
        <v>21</v>
      </c>
      <c r="F25" s="66" t="s">
        <v>21</v>
      </c>
      <c r="G25" s="66" t="s">
        <v>21</v>
      </c>
      <c r="H25" s="66" t="s">
        <v>21</v>
      </c>
      <c r="I25" s="66" t="s">
        <v>21</v>
      </c>
      <c r="J25" s="67">
        <v>69</v>
      </c>
      <c r="K25" s="58">
        <v>0</v>
      </c>
      <c r="L25" s="58">
        <v>0</v>
      </c>
      <c r="M25" s="58">
        <v>0</v>
      </c>
      <c r="N25" s="68">
        <v>50</v>
      </c>
      <c r="O25" s="46">
        <f t="shared" si="0"/>
        <v>69</v>
      </c>
      <c r="P25" s="47">
        <f t="shared" si="1"/>
        <v>0</v>
      </c>
      <c r="Q25" s="48">
        <f t="shared" si="2"/>
        <v>23.8</v>
      </c>
      <c r="R25" s="49" t="s">
        <v>46</v>
      </c>
    </row>
    <row r="26" spans="1:18" ht="19.5" customHeight="1">
      <c r="A26" s="50">
        <v>22</v>
      </c>
      <c r="B26" s="12" t="s">
        <v>47</v>
      </c>
      <c r="C26" s="69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52">
        <v>0</v>
      </c>
      <c r="O26" s="16">
        <f t="shared" si="0"/>
        <v>0</v>
      </c>
      <c r="P26" s="17">
        <f t="shared" si="1"/>
        <v>0</v>
      </c>
      <c r="Q26" s="18">
        <f t="shared" si="2"/>
        <v>0</v>
      </c>
    </row>
    <row r="27" spans="1:18" ht="19.5" customHeight="1">
      <c r="A27" s="19">
        <v>23</v>
      </c>
      <c r="B27" s="20" t="s">
        <v>48</v>
      </c>
      <c r="C27" s="63" t="s">
        <v>21</v>
      </c>
      <c r="D27" s="63" t="s">
        <v>21</v>
      </c>
      <c r="E27" s="40">
        <v>80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20</v>
      </c>
      <c r="N27" s="70">
        <v>50</v>
      </c>
      <c r="O27" s="24">
        <f t="shared" si="0"/>
        <v>80</v>
      </c>
      <c r="P27" s="25">
        <f t="shared" si="1"/>
        <v>0</v>
      </c>
      <c r="Q27" s="26">
        <f t="shared" si="2"/>
        <v>15</v>
      </c>
      <c r="R27" s="49" t="s">
        <v>49</v>
      </c>
    </row>
    <row r="28" spans="1:18" ht="19.5" customHeight="1">
      <c r="A28" s="19">
        <v>24</v>
      </c>
      <c r="B28" s="20" t="s">
        <v>50</v>
      </c>
      <c r="C28" s="21" t="s">
        <v>21</v>
      </c>
      <c r="D28" s="25">
        <v>14.3</v>
      </c>
      <c r="E28" s="71">
        <v>0</v>
      </c>
      <c r="F28" s="71">
        <v>0</v>
      </c>
      <c r="G28" s="71">
        <v>0</v>
      </c>
      <c r="H28" s="21" t="s">
        <v>21</v>
      </c>
      <c r="I28" s="71">
        <v>0</v>
      </c>
      <c r="J28" s="71">
        <v>0</v>
      </c>
      <c r="K28" s="71">
        <v>0</v>
      </c>
      <c r="L28" s="21" t="s">
        <v>21</v>
      </c>
      <c r="M28" s="71">
        <v>0</v>
      </c>
      <c r="N28" s="21" t="s">
        <v>21</v>
      </c>
      <c r="O28" s="24">
        <f t="shared" si="0"/>
        <v>14.3</v>
      </c>
      <c r="P28" s="25">
        <f t="shared" si="1"/>
        <v>0</v>
      </c>
      <c r="Q28" s="26">
        <f t="shared" si="2"/>
        <v>1.7875000000000001</v>
      </c>
      <c r="R28" s="49" t="s">
        <v>51</v>
      </c>
    </row>
    <row r="29" spans="1:18" ht="19.5" customHeight="1">
      <c r="A29" s="55">
        <v>25</v>
      </c>
      <c r="B29" s="56" t="s">
        <v>52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58">
        <v>25</v>
      </c>
      <c r="I29" s="58">
        <v>0</v>
      </c>
      <c r="J29" s="58">
        <v>0</v>
      </c>
      <c r="K29" s="58">
        <v>0</v>
      </c>
      <c r="L29" s="58">
        <v>25</v>
      </c>
      <c r="M29" s="58">
        <v>0</v>
      </c>
      <c r="N29" s="72">
        <v>0</v>
      </c>
      <c r="O29" s="60">
        <f t="shared" si="0"/>
        <v>25</v>
      </c>
      <c r="P29" s="61">
        <f t="shared" si="1"/>
        <v>0</v>
      </c>
      <c r="Q29" s="62">
        <f t="shared" si="2"/>
        <v>7.1428571428571432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70</v>
      </c>
    </row>
    <row r="3" spans="1:18" ht="19.5" customHeight="1">
      <c r="O3" s="5" t="s">
        <v>71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3.08530368992628*0.53</f>
        <v>1.6352109556609284</v>
      </c>
      <c r="D5" s="17">
        <f>0.647060260072434*0.53</f>
        <v>0.34294193783839005</v>
      </c>
      <c r="E5" s="17">
        <f>2.92657433660979*0.53</f>
        <v>1.5510843984031888</v>
      </c>
      <c r="F5" s="17">
        <f>1.69228433953728*0.53</f>
        <v>0.89691069995475847</v>
      </c>
      <c r="G5" s="17">
        <f>1.90942359989869*0.53</f>
        <v>1.0119945079463057</v>
      </c>
      <c r="H5" s="17">
        <f>1.98560151723075*0.53</f>
        <v>1.0523688041322976</v>
      </c>
      <c r="I5" s="17">
        <f>1.44595646448441*0.53</f>
        <v>0.76635692617673734</v>
      </c>
      <c r="J5" s="17">
        <f>1.17262677004252*0.53</f>
        <v>0.62149218812253559</v>
      </c>
      <c r="K5" s="17">
        <f>2.65979701790031*0.53</f>
        <v>1.4096924194871643</v>
      </c>
      <c r="L5" s="17">
        <f>3.34508960826237*0.53</f>
        <v>1.7728974923790561</v>
      </c>
      <c r="M5" s="17">
        <f>5.0695163157727*0.53</f>
        <v>2.686843647359531</v>
      </c>
      <c r="N5" s="75">
        <f>5.76727804553551*0.53</f>
        <v>3.0566573641338204</v>
      </c>
      <c r="O5" s="16">
        <f t="shared" ref="O5:O26" si="0">MAX(C5:N5)</f>
        <v>3.0566573641338204</v>
      </c>
      <c r="P5" s="17">
        <f t="shared" ref="P5:P29" si="1">MIN(C5:N5)</f>
        <v>0.34294193783839005</v>
      </c>
      <c r="Q5" s="18">
        <f t="shared" ref="Q5:Q29" si="2">AVERAGE(C5:N5)</f>
        <v>1.4003709451328927</v>
      </c>
    </row>
    <row r="6" spans="1:18" ht="19.5" customHeight="1">
      <c r="A6" s="27">
        <v>2</v>
      </c>
      <c r="B6" s="20" t="s">
        <v>20</v>
      </c>
      <c r="C6" s="21" t="s">
        <v>21</v>
      </c>
      <c r="D6" s="25">
        <v>2.37</v>
      </c>
      <c r="E6" s="25">
        <v>1.63</v>
      </c>
      <c r="F6" s="25">
        <v>1.94</v>
      </c>
      <c r="G6" s="25">
        <v>1.78</v>
      </c>
      <c r="H6" s="25">
        <v>2.16</v>
      </c>
      <c r="I6" s="25">
        <v>2.92</v>
      </c>
      <c r="J6" s="25">
        <v>2.09</v>
      </c>
      <c r="K6" s="25">
        <v>1.52</v>
      </c>
      <c r="L6" s="25">
        <v>1.23</v>
      </c>
      <c r="M6" s="25">
        <v>1.9</v>
      </c>
      <c r="N6" s="76">
        <v>1.65</v>
      </c>
      <c r="O6" s="24">
        <f t="shared" si="0"/>
        <v>2.92</v>
      </c>
      <c r="P6" s="25">
        <f t="shared" si="1"/>
        <v>1.23</v>
      </c>
      <c r="Q6" s="26">
        <f t="shared" si="2"/>
        <v>1.9263636363636361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0</v>
      </c>
      <c r="F7" s="25" t="s">
        <v>21</v>
      </c>
      <c r="G7" s="25">
        <v>2.59</v>
      </c>
      <c r="H7" s="25" t="s">
        <v>21</v>
      </c>
      <c r="I7" s="25">
        <v>6.59</v>
      </c>
      <c r="J7" s="25" t="s">
        <v>21</v>
      </c>
      <c r="K7" s="25" t="s">
        <v>21</v>
      </c>
      <c r="L7" s="25" t="s">
        <v>21</v>
      </c>
      <c r="M7" s="25">
        <v>17.399999999999999</v>
      </c>
      <c r="N7" s="76" t="s">
        <v>21</v>
      </c>
      <c r="O7" s="24">
        <f t="shared" si="0"/>
        <v>17.399999999999999</v>
      </c>
      <c r="P7" s="25">
        <f t="shared" si="1"/>
        <v>0</v>
      </c>
      <c r="Q7" s="26">
        <f t="shared" si="2"/>
        <v>6.6449999999999996</v>
      </c>
    </row>
    <row r="8" spans="1:18" ht="19.5" customHeight="1">
      <c r="A8" s="19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1.5982039828055836</v>
      </c>
      <c r="G8" s="25">
        <v>1.4329067920419289</v>
      </c>
      <c r="H8" s="25">
        <v>2.2388531075733926</v>
      </c>
      <c r="I8" s="25">
        <v>2.0614957450407307</v>
      </c>
      <c r="J8" s="25">
        <v>2.6931579795604428</v>
      </c>
      <c r="K8" s="25">
        <v>2.4950223756312693</v>
      </c>
      <c r="L8" s="25">
        <v>1.3741105409195711</v>
      </c>
      <c r="M8" s="25">
        <v>1.9956504882846673</v>
      </c>
      <c r="N8" s="76">
        <v>3.2695292306646073</v>
      </c>
      <c r="O8" s="24">
        <f t="shared" si="0"/>
        <v>3.2695292306646073</v>
      </c>
      <c r="P8" s="25">
        <f t="shared" si="1"/>
        <v>1.3741105409195711</v>
      </c>
      <c r="Q8" s="26">
        <f t="shared" si="2"/>
        <v>2.1287700269469103</v>
      </c>
    </row>
    <row r="9" spans="1:18" ht="19.5" customHeight="1">
      <c r="A9" s="28">
        <v>5</v>
      </c>
      <c r="B9" s="29" t="s">
        <v>24</v>
      </c>
      <c r="C9" s="77">
        <v>6.81</v>
      </c>
      <c r="D9" s="35">
        <v>9.2799999999999994</v>
      </c>
      <c r="E9" s="78">
        <v>3.92</v>
      </c>
      <c r="F9" s="35">
        <v>2.08</v>
      </c>
      <c r="G9" s="35">
        <v>2.77</v>
      </c>
      <c r="H9" s="35">
        <v>6.65</v>
      </c>
      <c r="I9" s="78">
        <v>7.94</v>
      </c>
      <c r="J9" s="35">
        <v>6.87</v>
      </c>
      <c r="K9" s="35">
        <v>8.2100000000000009</v>
      </c>
      <c r="L9" s="35">
        <v>4.04</v>
      </c>
      <c r="M9" s="35">
        <v>5.44</v>
      </c>
      <c r="N9" s="79">
        <v>6.53</v>
      </c>
      <c r="O9" s="34">
        <f t="shared" si="0"/>
        <v>9.2799999999999994</v>
      </c>
      <c r="P9" s="35">
        <f t="shared" si="1"/>
        <v>2.08</v>
      </c>
      <c r="Q9" s="36">
        <f t="shared" si="2"/>
        <v>5.878333333333333</v>
      </c>
    </row>
    <row r="10" spans="1:18" ht="19.5" customHeight="1">
      <c r="A10" s="37">
        <v>6</v>
      </c>
      <c r="B10" s="38" t="s">
        <v>25</v>
      </c>
      <c r="C10" s="63">
        <v>6.2925553319919514</v>
      </c>
      <c r="D10" s="42">
        <v>6.8622636103151864</v>
      </c>
      <c r="E10" s="42">
        <v>5.5767967145790545</v>
      </c>
      <c r="F10" s="42">
        <v>4.7841056910569115</v>
      </c>
      <c r="G10" s="42">
        <v>5.1790460251046024</v>
      </c>
      <c r="H10" s="80">
        <v>6.0104534606205249</v>
      </c>
      <c r="I10" s="42">
        <v>8.5265765765765771</v>
      </c>
      <c r="J10" s="42">
        <v>6.2449864498644994</v>
      </c>
      <c r="K10" s="42">
        <v>4.7941747572815538</v>
      </c>
      <c r="L10" s="42">
        <v>5.2684772065955396</v>
      </c>
      <c r="M10" s="42">
        <v>4.7579687499999999</v>
      </c>
      <c r="N10" s="81">
        <v>4.5164634146341465</v>
      </c>
      <c r="O10" s="41">
        <f t="shared" si="0"/>
        <v>8.5265765765765771</v>
      </c>
      <c r="P10" s="42">
        <f t="shared" si="1"/>
        <v>4.5164634146341465</v>
      </c>
      <c r="Q10" s="43">
        <f t="shared" si="2"/>
        <v>5.7344889990517123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12.8</v>
      </c>
      <c r="F11" s="47">
        <v>10.73</v>
      </c>
      <c r="G11" s="47">
        <v>10.41</v>
      </c>
      <c r="H11" s="47">
        <v>7.1</v>
      </c>
      <c r="I11" s="47">
        <v>7.87</v>
      </c>
      <c r="J11" s="47">
        <v>12.9</v>
      </c>
      <c r="K11" s="47">
        <v>6.35</v>
      </c>
      <c r="L11" s="47">
        <v>9.52</v>
      </c>
      <c r="M11" s="47">
        <v>3.85</v>
      </c>
      <c r="N11" s="82">
        <v>6.17</v>
      </c>
      <c r="O11" s="46">
        <f t="shared" si="0"/>
        <v>12.9</v>
      </c>
      <c r="P11" s="47">
        <f t="shared" si="1"/>
        <v>3.85</v>
      </c>
      <c r="Q11" s="48">
        <f t="shared" si="2"/>
        <v>8.77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0</v>
      </c>
      <c r="D12" s="17">
        <v>0.62470000000000003</v>
      </c>
      <c r="E12" s="17">
        <v>0.46010000000000001</v>
      </c>
      <c r="F12" s="17">
        <v>0.2364</v>
      </c>
      <c r="G12" s="17">
        <v>2.2549000000000001</v>
      </c>
      <c r="H12" s="17">
        <v>1.6623000000000001</v>
      </c>
      <c r="I12" s="17">
        <v>1.9843</v>
      </c>
      <c r="J12" s="17">
        <v>1.1375999999999999</v>
      </c>
      <c r="K12" s="17">
        <v>2.2246000000000001</v>
      </c>
      <c r="L12" s="17">
        <v>2.0493999999999999</v>
      </c>
      <c r="M12" s="17">
        <v>1.3053999999999999</v>
      </c>
      <c r="N12" s="75">
        <v>5.0997000000000003</v>
      </c>
      <c r="O12" s="16">
        <f t="shared" si="0"/>
        <v>5.0997000000000003</v>
      </c>
      <c r="P12" s="17">
        <f t="shared" si="1"/>
        <v>0</v>
      </c>
      <c r="Q12" s="18">
        <f t="shared" si="2"/>
        <v>1.5866166666666668</v>
      </c>
    </row>
    <row r="13" spans="1:18" ht="19.5" customHeight="1">
      <c r="A13" s="19">
        <v>9</v>
      </c>
      <c r="B13" s="20" t="s">
        <v>29</v>
      </c>
      <c r="C13" s="21">
        <v>5.12</v>
      </c>
      <c r="D13" s="25">
        <v>5.15</v>
      </c>
      <c r="E13" s="25">
        <v>2.31</v>
      </c>
      <c r="F13" s="25">
        <v>3.02</v>
      </c>
      <c r="G13" s="25">
        <v>2.71</v>
      </c>
      <c r="H13" s="25">
        <v>3.56</v>
      </c>
      <c r="I13" s="25">
        <v>5.16</v>
      </c>
      <c r="J13" s="25">
        <v>3.88</v>
      </c>
      <c r="K13" s="25">
        <v>3</v>
      </c>
      <c r="L13" s="25">
        <v>4</v>
      </c>
      <c r="M13" s="25">
        <v>6.07</v>
      </c>
      <c r="N13" s="76">
        <v>7.19</v>
      </c>
      <c r="O13" s="24">
        <f t="shared" si="0"/>
        <v>7.19</v>
      </c>
      <c r="P13" s="25">
        <f t="shared" si="1"/>
        <v>2.31</v>
      </c>
      <c r="Q13" s="26">
        <f t="shared" si="2"/>
        <v>4.2641666666666662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5.6677846094030775</v>
      </c>
      <c r="D14" s="25">
        <v>5.9643645722439498</v>
      </c>
      <c r="E14" s="25">
        <v>6.8582696024337908</v>
      </c>
      <c r="F14" s="25">
        <v>10.545352042033898</v>
      </c>
      <c r="G14" s="25">
        <v>7.3038107512197321</v>
      </c>
      <c r="H14" s="25">
        <v>8.0082825928287988</v>
      </c>
      <c r="I14" s="25">
        <v>6.8227883800070188</v>
      </c>
      <c r="J14" s="25">
        <v>5.1061331591607511</v>
      </c>
      <c r="K14" s="25">
        <v>5.0601315470382637</v>
      </c>
      <c r="L14" s="25">
        <v>4.2812975466276297</v>
      </c>
      <c r="M14" s="25">
        <v>5.0127125319167742</v>
      </c>
      <c r="N14" s="76">
        <v>9.673434071595814</v>
      </c>
      <c r="O14" s="24">
        <f t="shared" si="0"/>
        <v>10.545352042033898</v>
      </c>
      <c r="P14" s="25">
        <f t="shared" si="1"/>
        <v>4.2812975466276297</v>
      </c>
      <c r="Q14" s="26">
        <f t="shared" si="2"/>
        <v>6.6920301172091241</v>
      </c>
    </row>
    <row r="15" spans="1:18" ht="19.5" customHeight="1">
      <c r="A15" s="19">
        <v>11</v>
      </c>
      <c r="B15" s="20" t="s">
        <v>32</v>
      </c>
      <c r="C15" s="21">
        <v>4.4135864118543964</v>
      </c>
      <c r="D15" s="25">
        <v>4.7585500710280444</v>
      </c>
      <c r="E15" s="25">
        <v>3.4914628014208744</v>
      </c>
      <c r="F15" s="25">
        <v>4.8490578127539452</v>
      </c>
      <c r="G15" s="25">
        <v>4.4721552036206909</v>
      </c>
      <c r="H15" s="25">
        <v>4.0019059652372038</v>
      </c>
      <c r="I15" s="25">
        <v>4.0369369539818276</v>
      </c>
      <c r="J15" s="25">
        <v>2.084104942744641</v>
      </c>
      <c r="K15" s="25">
        <v>2.5175526543881017</v>
      </c>
      <c r="L15" s="25">
        <v>2.228596325010781</v>
      </c>
      <c r="M15" s="25">
        <v>2.8376727257420256</v>
      </c>
      <c r="N15" s="76">
        <v>4.4305015529886278</v>
      </c>
      <c r="O15" s="24">
        <f t="shared" si="0"/>
        <v>4.8490578127539452</v>
      </c>
      <c r="P15" s="25">
        <f t="shared" si="1"/>
        <v>2.084104942744641</v>
      </c>
      <c r="Q15" s="26">
        <f t="shared" si="2"/>
        <v>3.6768402850642636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2.7</v>
      </c>
      <c r="D16" s="25">
        <v>1.4</v>
      </c>
      <c r="E16" s="25">
        <v>1.1000000000000001</v>
      </c>
      <c r="F16" s="25">
        <v>2.2000000000000002</v>
      </c>
      <c r="G16" s="25">
        <v>3.6</v>
      </c>
      <c r="H16" s="25">
        <v>1.9</v>
      </c>
      <c r="I16" s="25">
        <v>1.1000000000000001</v>
      </c>
      <c r="J16" s="25">
        <v>1.5</v>
      </c>
      <c r="K16" s="25">
        <v>0.9</v>
      </c>
      <c r="L16" s="25">
        <v>2.1</v>
      </c>
      <c r="M16" s="25">
        <v>1.4</v>
      </c>
      <c r="N16" s="76">
        <v>2.7</v>
      </c>
      <c r="O16" s="24">
        <f t="shared" si="0"/>
        <v>3.6</v>
      </c>
      <c r="P16" s="25">
        <f t="shared" si="1"/>
        <v>0.9</v>
      </c>
      <c r="Q16" s="26">
        <f t="shared" si="2"/>
        <v>1.8833333333333331</v>
      </c>
    </row>
    <row r="17" spans="1:18" ht="19.5" customHeight="1">
      <c r="A17" s="19">
        <v>13</v>
      </c>
      <c r="B17" s="20" t="s">
        <v>35</v>
      </c>
      <c r="C17" s="21">
        <v>4.12</v>
      </c>
      <c r="D17" s="25">
        <v>4.95</v>
      </c>
      <c r="E17" s="25">
        <v>3.84</v>
      </c>
      <c r="F17" s="25">
        <v>3.98</v>
      </c>
      <c r="G17" s="25">
        <v>7.76</v>
      </c>
      <c r="H17" s="25">
        <v>4.68</v>
      </c>
      <c r="I17" s="25">
        <v>4.76</v>
      </c>
      <c r="J17" s="25">
        <v>3.74</v>
      </c>
      <c r="K17" s="25">
        <v>3.57</v>
      </c>
      <c r="L17" s="25">
        <v>2.67</v>
      </c>
      <c r="M17" s="25">
        <v>3.2</v>
      </c>
      <c r="N17" s="76">
        <v>6.08</v>
      </c>
      <c r="O17" s="24">
        <f t="shared" si="0"/>
        <v>7.76</v>
      </c>
      <c r="P17" s="25">
        <f t="shared" si="1"/>
        <v>2.67</v>
      </c>
      <c r="Q17" s="26">
        <f t="shared" si="2"/>
        <v>4.4458333333333337</v>
      </c>
    </row>
    <row r="18" spans="1:18" ht="19.5" customHeight="1">
      <c r="A18" s="19">
        <v>14</v>
      </c>
      <c r="B18" s="20" t="s">
        <v>36</v>
      </c>
      <c r="C18" s="21" t="s">
        <v>21</v>
      </c>
      <c r="D18" s="25" t="s">
        <v>21</v>
      </c>
      <c r="E18" s="25">
        <v>2.1985160489629378</v>
      </c>
      <c r="F18" s="25" t="s">
        <v>21</v>
      </c>
      <c r="G18" s="25" t="s">
        <v>21</v>
      </c>
      <c r="H18" s="25">
        <v>0.59768665382665365</v>
      </c>
      <c r="I18" s="25">
        <v>0.1240075636171962</v>
      </c>
      <c r="J18" s="25">
        <v>0.38773781108273614</v>
      </c>
      <c r="K18" s="25">
        <v>0.14400772492750008</v>
      </c>
      <c r="L18" s="25">
        <v>0.92698999257625969</v>
      </c>
      <c r="M18" s="25">
        <v>0.93185803826294655</v>
      </c>
      <c r="N18" s="76">
        <v>1.2301417089041655</v>
      </c>
      <c r="O18" s="24">
        <f t="shared" si="0"/>
        <v>2.1985160489629378</v>
      </c>
      <c r="P18" s="25">
        <f t="shared" si="1"/>
        <v>0.1240075636171962</v>
      </c>
      <c r="Q18" s="26">
        <f t="shared" si="2"/>
        <v>0.81761819277004943</v>
      </c>
    </row>
    <row r="19" spans="1:18" ht="19.5" customHeight="1">
      <c r="A19" s="19">
        <v>15</v>
      </c>
      <c r="B19" s="20" t="s">
        <v>37</v>
      </c>
      <c r="C19" s="21">
        <v>6.11</v>
      </c>
      <c r="D19" s="25">
        <v>9.08</v>
      </c>
      <c r="E19" s="25">
        <v>2.71</v>
      </c>
      <c r="F19" s="25">
        <v>1.77</v>
      </c>
      <c r="G19" s="25">
        <v>2.2000000000000002</v>
      </c>
      <c r="H19" s="25">
        <v>2.33</v>
      </c>
      <c r="I19" s="25">
        <v>3.66</v>
      </c>
      <c r="J19" s="25">
        <v>3.02</v>
      </c>
      <c r="K19" s="25">
        <v>4.37</v>
      </c>
      <c r="L19" s="25">
        <v>2.35</v>
      </c>
      <c r="M19" s="25">
        <v>3.28</v>
      </c>
      <c r="N19" s="76">
        <v>4.82</v>
      </c>
      <c r="O19" s="24">
        <f t="shared" si="0"/>
        <v>9.08</v>
      </c>
      <c r="P19" s="25">
        <f t="shared" si="1"/>
        <v>1.77</v>
      </c>
      <c r="Q19" s="26">
        <f t="shared" si="2"/>
        <v>3.8083333333333336</v>
      </c>
    </row>
    <row r="20" spans="1:18" ht="19.5" customHeight="1">
      <c r="A20" s="91">
        <v>16</v>
      </c>
      <c r="B20" s="56" t="s">
        <v>38</v>
      </c>
      <c r="C20" s="66">
        <v>3.7</v>
      </c>
      <c r="D20" s="61">
        <v>4.4000000000000004</v>
      </c>
      <c r="E20" s="61">
        <v>5.7</v>
      </c>
      <c r="F20" s="61">
        <v>6.7</v>
      </c>
      <c r="G20" s="61">
        <v>4.3</v>
      </c>
      <c r="H20" s="61">
        <v>9.1</v>
      </c>
      <c r="I20" s="61">
        <v>4.5999999999999996</v>
      </c>
      <c r="J20" s="61">
        <v>3.1</v>
      </c>
      <c r="K20" s="61">
        <v>3.6</v>
      </c>
      <c r="L20" s="61">
        <v>3.4</v>
      </c>
      <c r="M20" s="61">
        <v>3.1</v>
      </c>
      <c r="N20" s="83">
        <v>6.1</v>
      </c>
      <c r="O20" s="60">
        <f t="shared" si="0"/>
        <v>9.1</v>
      </c>
      <c r="P20" s="61">
        <f t="shared" si="1"/>
        <v>3.1</v>
      </c>
      <c r="Q20" s="62">
        <f t="shared" si="2"/>
        <v>4.8166666666666673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0.81855520398108039</v>
      </c>
      <c r="I21" s="42">
        <v>0.79272232978370627</v>
      </c>
      <c r="J21" s="42">
        <v>1.5518200724170148</v>
      </c>
      <c r="K21" s="42">
        <v>2.1666568996117381</v>
      </c>
      <c r="L21" s="42">
        <v>2.0807990598384922</v>
      </c>
      <c r="M21" s="42">
        <v>2.0446055074585745</v>
      </c>
      <c r="N21" s="81">
        <v>6.6015298164829304</v>
      </c>
      <c r="O21" s="41">
        <f t="shared" si="0"/>
        <v>6.6015298164829304</v>
      </c>
      <c r="P21" s="42">
        <f t="shared" si="1"/>
        <v>0.79272232978370627</v>
      </c>
      <c r="Q21" s="43">
        <f t="shared" si="2"/>
        <v>2.293812698510505</v>
      </c>
      <c r="R21" s="64"/>
    </row>
    <row r="22" spans="1:18" ht="19.5" customHeight="1">
      <c r="A22" s="19">
        <v>18</v>
      </c>
      <c r="B22" s="20" t="s">
        <v>40</v>
      </c>
      <c r="C22" s="21">
        <v>16.25608925863505</v>
      </c>
      <c r="D22" s="25">
        <v>13.84520337085196</v>
      </c>
      <c r="E22" s="25">
        <v>4.9259987069615416</v>
      </c>
      <c r="F22" s="25">
        <v>4.3569481280558886</v>
      </c>
      <c r="G22" s="25">
        <v>4.4635407242231553</v>
      </c>
      <c r="H22" s="25">
        <v>9.3642551609709948</v>
      </c>
      <c r="I22" s="25">
        <v>12.781046909417405</v>
      </c>
      <c r="J22" s="25">
        <v>11.78708616074872</v>
      </c>
      <c r="K22" s="25">
        <v>16.86377304454324</v>
      </c>
      <c r="L22" s="25">
        <v>18.571971714477538</v>
      </c>
      <c r="M22" s="25">
        <v>15.866704831948626</v>
      </c>
      <c r="N22" s="76">
        <v>19.999503782705297</v>
      </c>
      <c r="O22" s="24">
        <f t="shared" si="0"/>
        <v>19.999503782705297</v>
      </c>
      <c r="P22" s="25">
        <f t="shared" si="1"/>
        <v>4.3569481280558886</v>
      </c>
      <c r="Q22" s="26">
        <f t="shared" si="2"/>
        <v>12.423510149461618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0.53</v>
      </c>
      <c r="E23" s="25">
        <v>0.27</v>
      </c>
      <c r="F23" s="25">
        <v>0.157</v>
      </c>
      <c r="G23" s="25">
        <v>0.318</v>
      </c>
      <c r="H23" s="25">
        <v>1.946</v>
      </c>
      <c r="I23" s="25">
        <v>1.9E-2</v>
      </c>
      <c r="J23" s="25">
        <v>1.65</v>
      </c>
      <c r="K23" s="25">
        <v>0.1</v>
      </c>
      <c r="L23" s="25">
        <v>0.46</v>
      </c>
      <c r="M23" s="25">
        <v>0</v>
      </c>
      <c r="N23" s="76">
        <v>8.7999999999999995E-2</v>
      </c>
      <c r="O23" s="24">
        <f t="shared" si="0"/>
        <v>1.946</v>
      </c>
      <c r="P23" s="25">
        <f t="shared" si="1"/>
        <v>0</v>
      </c>
      <c r="Q23" s="26">
        <f t="shared" si="2"/>
        <v>0.50345454545454549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12</v>
      </c>
      <c r="J24" s="25">
        <v>3.66</v>
      </c>
      <c r="K24" s="25">
        <v>3.8</v>
      </c>
      <c r="L24" s="25">
        <v>27.9</v>
      </c>
      <c r="M24" s="25">
        <v>24</v>
      </c>
      <c r="N24" s="85">
        <v>11.9</v>
      </c>
      <c r="O24" s="24">
        <f t="shared" si="0"/>
        <v>27.9</v>
      </c>
      <c r="P24" s="25">
        <f t="shared" si="1"/>
        <v>3.66</v>
      </c>
      <c r="Q24" s="26">
        <f t="shared" si="2"/>
        <v>13.876666666666667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>
        <v>1.52</v>
      </c>
      <c r="K25" s="47">
        <v>13.2</v>
      </c>
      <c r="L25" s="47">
        <v>2.25</v>
      </c>
      <c r="M25" s="47">
        <v>0.62</v>
      </c>
      <c r="N25" s="87">
        <v>3.9</v>
      </c>
      <c r="O25" s="46">
        <f t="shared" si="0"/>
        <v>13.2</v>
      </c>
      <c r="P25" s="47">
        <f t="shared" si="1"/>
        <v>0.62</v>
      </c>
      <c r="Q25" s="48">
        <f t="shared" si="2"/>
        <v>4.298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9</v>
      </c>
      <c r="D26" s="17">
        <v>7.75</v>
      </c>
      <c r="E26" s="17">
        <v>6.37</v>
      </c>
      <c r="F26" s="17">
        <v>7.51</v>
      </c>
      <c r="G26" s="17">
        <v>4.45</v>
      </c>
      <c r="H26" s="17">
        <v>5.44</v>
      </c>
      <c r="I26" s="17">
        <v>5.96</v>
      </c>
      <c r="J26" s="17">
        <v>7.24</v>
      </c>
      <c r="K26" s="17">
        <v>5.89</v>
      </c>
      <c r="L26" s="17">
        <v>5.51</v>
      </c>
      <c r="M26" s="17">
        <v>7.09</v>
      </c>
      <c r="N26" s="75">
        <v>11.08</v>
      </c>
      <c r="O26" s="16">
        <f t="shared" si="0"/>
        <v>11.08</v>
      </c>
      <c r="P26" s="17">
        <f t="shared" si="1"/>
        <v>4.45</v>
      </c>
      <c r="Q26" s="18">
        <f t="shared" si="2"/>
        <v>6.9408333333333339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0.50186191371216238</v>
      </c>
      <c r="G27" s="25">
        <v>0.36924553982255592</v>
      </c>
      <c r="H27" s="25">
        <v>0</v>
      </c>
      <c r="I27" s="25">
        <v>0</v>
      </c>
      <c r="J27" s="25">
        <v>0</v>
      </c>
      <c r="K27" s="25">
        <v>0.30438768269323069</v>
      </c>
      <c r="L27" s="25">
        <v>1.0483618003545834</v>
      </c>
      <c r="M27" s="25">
        <v>0</v>
      </c>
      <c r="N27" s="85">
        <v>0.15322834492628876</v>
      </c>
      <c r="O27" s="24">
        <v>1.9336075032128388</v>
      </c>
      <c r="P27" s="25">
        <f t="shared" si="1"/>
        <v>0</v>
      </c>
      <c r="Q27" s="26">
        <f t="shared" si="2"/>
        <v>0.2641205868343135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1.5</v>
      </c>
      <c r="E28" s="25">
        <v>0.7</v>
      </c>
      <c r="F28" s="25">
        <v>0.8</v>
      </c>
      <c r="G28" s="25">
        <v>1.1000000000000001</v>
      </c>
      <c r="H28" s="90" t="s">
        <v>21</v>
      </c>
      <c r="I28" s="25">
        <v>5</v>
      </c>
      <c r="J28" s="25">
        <v>2.2999999999999998</v>
      </c>
      <c r="K28" s="25">
        <v>4</v>
      </c>
      <c r="L28" s="25" t="s">
        <v>21</v>
      </c>
      <c r="M28" s="25">
        <v>11.4</v>
      </c>
      <c r="N28" s="76" t="s">
        <v>21</v>
      </c>
      <c r="O28" s="24">
        <f t="shared" ref="O28:O29" si="3">MAX(C28:N28)</f>
        <v>11.4</v>
      </c>
      <c r="P28" s="25">
        <f t="shared" si="1"/>
        <v>0.7</v>
      </c>
      <c r="Q28" s="26">
        <f t="shared" si="2"/>
        <v>3.3499999999999996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6.1281401913461631</v>
      </c>
      <c r="I29" s="61">
        <v>2.0905541072196701</v>
      </c>
      <c r="J29" s="61">
        <v>2.0167698446119169</v>
      </c>
      <c r="K29" s="61">
        <v>2.3610964034480979</v>
      </c>
      <c r="L29" s="61">
        <v>1.2448443216364025</v>
      </c>
      <c r="M29" s="61">
        <v>3.2523403027733684</v>
      </c>
      <c r="N29" s="83">
        <v>11.461401082756399</v>
      </c>
      <c r="O29" s="60">
        <f t="shared" si="3"/>
        <v>11.461401082756399</v>
      </c>
      <c r="P29" s="61">
        <f t="shared" si="1"/>
        <v>1.2448443216364025</v>
      </c>
      <c r="Q29" s="62">
        <f t="shared" si="2"/>
        <v>4.0793066076845736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54</v>
      </c>
    </row>
    <row r="3" spans="1:18" ht="19.5" customHeight="1">
      <c r="O3" s="5" t="s">
        <v>55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v>143.99889792562325</v>
      </c>
      <c r="D5" s="17">
        <v>133.8126032839595</v>
      </c>
      <c r="E5" s="17">
        <v>144.21637733753687</v>
      </c>
      <c r="F5" s="17">
        <v>154.20985793134307</v>
      </c>
      <c r="G5" s="17">
        <v>151.21804376670934</v>
      </c>
      <c r="H5" s="17">
        <v>151.15294793654286</v>
      </c>
      <c r="I5" s="17">
        <v>159.36349150439435</v>
      </c>
      <c r="J5" s="17">
        <v>157.43392398785963</v>
      </c>
      <c r="K5" s="17">
        <v>154.4471799331765</v>
      </c>
      <c r="L5" s="17">
        <v>148.91923339931574</v>
      </c>
      <c r="M5" s="17">
        <v>152.36074320169763</v>
      </c>
      <c r="N5" s="75">
        <v>153.74481388654712</v>
      </c>
      <c r="O5" s="16">
        <f t="shared" ref="O5:O29" si="0">MAX(C5:N5)</f>
        <v>159.36349150439435</v>
      </c>
      <c r="P5" s="17">
        <f t="shared" ref="P5:P29" si="1">MIN(C5:N5)</f>
        <v>133.8126032839595</v>
      </c>
      <c r="Q5" s="18">
        <f t="shared" ref="Q5:Q29" si="2">AVERAGE(C5:N5)</f>
        <v>150.40650950789217</v>
      </c>
    </row>
    <row r="6" spans="1:18" ht="19.5" customHeight="1">
      <c r="A6" s="19">
        <v>2</v>
      </c>
      <c r="B6" s="20" t="s">
        <v>20</v>
      </c>
      <c r="C6" s="21" t="s">
        <v>21</v>
      </c>
      <c r="D6" s="25">
        <v>57.37</v>
      </c>
      <c r="E6" s="25">
        <v>98.4</v>
      </c>
      <c r="F6" s="25">
        <v>76.44</v>
      </c>
      <c r="G6" s="25">
        <v>97.2</v>
      </c>
      <c r="H6" s="25">
        <v>80.040000000000006</v>
      </c>
      <c r="I6" s="25">
        <v>80.349999999999994</v>
      </c>
      <c r="J6" s="25">
        <v>106.32</v>
      </c>
      <c r="K6" s="25">
        <v>89.3</v>
      </c>
      <c r="L6" s="25">
        <v>80.44</v>
      </c>
      <c r="M6" s="25">
        <v>103.83</v>
      </c>
      <c r="N6" s="76">
        <v>82.44</v>
      </c>
      <c r="O6" s="24">
        <f t="shared" si="0"/>
        <v>106.32</v>
      </c>
      <c r="P6" s="25">
        <f t="shared" si="1"/>
        <v>57.37</v>
      </c>
      <c r="Q6" s="26">
        <f t="shared" si="2"/>
        <v>86.557272727272732</v>
      </c>
    </row>
    <row r="7" spans="1:18" ht="19.5" customHeight="1">
      <c r="A7" s="27">
        <v>3</v>
      </c>
      <c r="B7" s="20" t="s">
        <v>22</v>
      </c>
      <c r="C7" s="21" t="s">
        <v>21</v>
      </c>
      <c r="D7" s="21" t="s">
        <v>21</v>
      </c>
      <c r="E7" s="25">
        <v>62.58</v>
      </c>
      <c r="F7" s="21" t="s">
        <v>21</v>
      </c>
      <c r="G7" s="25">
        <v>58.09</v>
      </c>
      <c r="H7" s="21" t="s">
        <v>21</v>
      </c>
      <c r="I7" s="25">
        <v>42.83</v>
      </c>
      <c r="J7" s="21" t="s">
        <v>21</v>
      </c>
      <c r="K7" s="21" t="s">
        <v>21</v>
      </c>
      <c r="L7" s="21" t="s">
        <v>21</v>
      </c>
      <c r="M7" s="25">
        <v>53.2</v>
      </c>
      <c r="N7" s="21" t="s">
        <v>21</v>
      </c>
      <c r="O7" s="24">
        <f t="shared" si="0"/>
        <v>62.58</v>
      </c>
      <c r="P7" s="25">
        <f t="shared" si="1"/>
        <v>42.83</v>
      </c>
      <c r="Q7" s="26">
        <f t="shared" si="2"/>
        <v>54.174999999999997</v>
      </c>
    </row>
    <row r="8" spans="1:18" ht="19.5" customHeight="1">
      <c r="A8" s="27">
        <v>4</v>
      </c>
      <c r="B8" s="20" t="s">
        <v>23</v>
      </c>
      <c r="C8" s="21" t="s">
        <v>21</v>
      </c>
      <c r="D8" s="21" t="s">
        <v>21</v>
      </c>
      <c r="E8" s="21" t="s">
        <v>21</v>
      </c>
      <c r="F8" s="25">
        <v>90.752590923193992</v>
      </c>
      <c r="G8" s="25">
        <v>149.035398454225</v>
      </c>
      <c r="H8" s="25">
        <v>105.34425647391576</v>
      </c>
      <c r="I8" s="25">
        <v>114.3120267810169</v>
      </c>
      <c r="J8" s="25">
        <v>159.06595829326798</v>
      </c>
      <c r="K8" s="25">
        <v>132.60398977786031</v>
      </c>
      <c r="L8" s="25">
        <v>126.85480763111255</v>
      </c>
      <c r="M8" s="25">
        <v>167.44439474846564</v>
      </c>
      <c r="N8" s="76">
        <v>133.93822324961684</v>
      </c>
      <c r="O8" s="24">
        <f t="shared" si="0"/>
        <v>167.44439474846564</v>
      </c>
      <c r="P8" s="25">
        <f t="shared" si="1"/>
        <v>90.752590923193992</v>
      </c>
      <c r="Q8" s="26">
        <f t="shared" si="2"/>
        <v>131.03907181474165</v>
      </c>
    </row>
    <row r="9" spans="1:18" ht="19.5" customHeight="1">
      <c r="A9" s="28">
        <v>5</v>
      </c>
      <c r="B9" s="29" t="s">
        <v>24</v>
      </c>
      <c r="C9" s="77">
        <v>20.46</v>
      </c>
      <c r="D9" s="35">
        <v>34</v>
      </c>
      <c r="E9" s="78">
        <v>29.89</v>
      </c>
      <c r="F9" s="35">
        <v>37.93</v>
      </c>
      <c r="G9" s="35">
        <v>55.23</v>
      </c>
      <c r="H9" s="35">
        <v>31.32</v>
      </c>
      <c r="I9" s="78">
        <v>21.65</v>
      </c>
      <c r="J9" s="35">
        <v>51.38</v>
      </c>
      <c r="K9" s="35">
        <v>29.99</v>
      </c>
      <c r="L9" s="35">
        <v>37.28</v>
      </c>
      <c r="M9" s="35">
        <v>34.72</v>
      </c>
      <c r="N9" s="79">
        <v>38.159999999999997</v>
      </c>
      <c r="O9" s="34">
        <f t="shared" si="0"/>
        <v>55.23</v>
      </c>
      <c r="P9" s="35">
        <f t="shared" si="1"/>
        <v>20.46</v>
      </c>
      <c r="Q9" s="36">
        <f t="shared" si="2"/>
        <v>35.167499999999997</v>
      </c>
    </row>
    <row r="10" spans="1:18" ht="19.5" customHeight="1">
      <c r="A10" s="37">
        <v>6</v>
      </c>
      <c r="B10" s="38" t="s">
        <v>25</v>
      </c>
      <c r="C10" s="63">
        <v>99.4</v>
      </c>
      <c r="D10" s="42">
        <v>69.8</v>
      </c>
      <c r="E10" s="42">
        <v>97.4</v>
      </c>
      <c r="F10" s="42">
        <v>98.4</v>
      </c>
      <c r="G10" s="42">
        <v>119.5</v>
      </c>
      <c r="H10" s="80">
        <v>41.9</v>
      </c>
      <c r="I10" s="42">
        <v>88.8</v>
      </c>
      <c r="J10" s="42">
        <v>73.8</v>
      </c>
      <c r="K10" s="42">
        <v>92.7</v>
      </c>
      <c r="L10" s="42">
        <v>103.1</v>
      </c>
      <c r="M10" s="42">
        <v>128</v>
      </c>
      <c r="N10" s="81">
        <v>32.799999999999997</v>
      </c>
      <c r="O10" s="41">
        <f t="shared" si="0"/>
        <v>128</v>
      </c>
      <c r="P10" s="42">
        <f t="shared" si="1"/>
        <v>32.799999999999997</v>
      </c>
      <c r="Q10" s="43">
        <f t="shared" si="2"/>
        <v>87.133333333333326</v>
      </c>
    </row>
    <row r="11" spans="1:18" ht="19.5" customHeight="1">
      <c r="A11" s="44">
        <v>7</v>
      </c>
      <c r="B11" s="45" t="s">
        <v>26</v>
      </c>
      <c r="C11" s="21" t="s">
        <v>21</v>
      </c>
      <c r="D11" s="21" t="s">
        <v>21</v>
      </c>
      <c r="E11" s="47">
        <v>44.07</v>
      </c>
      <c r="F11" s="47">
        <v>61.07</v>
      </c>
      <c r="G11" s="47">
        <v>46.58</v>
      </c>
      <c r="H11" s="47">
        <v>42.04</v>
      </c>
      <c r="I11" s="47">
        <v>63.73</v>
      </c>
      <c r="J11" s="47">
        <v>44.41</v>
      </c>
      <c r="K11" s="47">
        <v>46.59</v>
      </c>
      <c r="L11" s="47">
        <v>57.96</v>
      </c>
      <c r="M11" s="47">
        <v>45.46</v>
      </c>
      <c r="N11" s="82">
        <v>54.85</v>
      </c>
      <c r="O11" s="46">
        <f t="shared" si="0"/>
        <v>63.73</v>
      </c>
      <c r="P11" s="47">
        <f t="shared" si="1"/>
        <v>42.04</v>
      </c>
      <c r="Q11" s="48">
        <f t="shared" si="2"/>
        <v>50.676000000000002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50.5</v>
      </c>
      <c r="D12" s="17">
        <v>39.47</v>
      </c>
      <c r="E12" s="17">
        <v>50.74</v>
      </c>
      <c r="F12" s="17">
        <v>37.700000000000003</v>
      </c>
      <c r="G12" s="17">
        <v>44.88</v>
      </c>
      <c r="H12" s="17">
        <v>40.44</v>
      </c>
      <c r="I12" s="17">
        <v>41.5</v>
      </c>
      <c r="J12" s="17">
        <v>43.87</v>
      </c>
      <c r="K12" s="17">
        <v>45.22</v>
      </c>
      <c r="L12" s="17">
        <v>40</v>
      </c>
      <c r="M12" s="17">
        <v>45.97</v>
      </c>
      <c r="N12" s="75">
        <v>42.89</v>
      </c>
      <c r="O12" s="16">
        <f t="shared" si="0"/>
        <v>50.74</v>
      </c>
      <c r="P12" s="17">
        <f t="shared" si="1"/>
        <v>37.700000000000003</v>
      </c>
      <c r="Q12" s="18">
        <f t="shared" si="2"/>
        <v>43.598333333333336</v>
      </c>
    </row>
    <row r="13" spans="1:18" ht="19.5" customHeight="1">
      <c r="A13" s="19">
        <v>9</v>
      </c>
      <c r="B13" s="20" t="s">
        <v>29</v>
      </c>
      <c r="C13" s="21">
        <v>53.838299999999997</v>
      </c>
      <c r="D13" s="25">
        <v>37.3127</v>
      </c>
      <c r="E13" s="25">
        <v>49.741</v>
      </c>
      <c r="F13" s="25">
        <v>41.747100000000003</v>
      </c>
      <c r="G13" s="25">
        <v>46.7179</v>
      </c>
      <c r="H13" s="25">
        <v>40.660400000000003</v>
      </c>
      <c r="I13" s="25">
        <v>36.864199999999997</v>
      </c>
      <c r="J13" s="25">
        <v>48.009900000000002</v>
      </c>
      <c r="K13" s="25">
        <v>41.734499999999997</v>
      </c>
      <c r="L13" s="25">
        <v>38.700000000000003</v>
      </c>
      <c r="M13" s="25">
        <v>47.593200000000003</v>
      </c>
      <c r="N13" s="76">
        <v>46.077500000000001</v>
      </c>
      <c r="O13" s="24">
        <f t="shared" si="0"/>
        <v>53.838299999999997</v>
      </c>
      <c r="P13" s="25">
        <f t="shared" si="1"/>
        <v>36.864199999999997</v>
      </c>
      <c r="Q13" s="26">
        <f t="shared" si="2"/>
        <v>44.083058333333334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51.930799347471449</v>
      </c>
      <c r="D14" s="25">
        <v>32.191191144401252</v>
      </c>
      <c r="E14" s="25">
        <v>113.14807451206369</v>
      </c>
      <c r="F14" s="25">
        <v>116.8287217998255</v>
      </c>
      <c r="G14" s="25">
        <v>158.68920734908133</v>
      </c>
      <c r="H14" s="25">
        <v>142.98146019024182</v>
      </c>
      <c r="I14" s="25">
        <v>89.699396480383058</v>
      </c>
      <c r="J14" s="25">
        <v>114.37161386301602</v>
      </c>
      <c r="K14" s="25">
        <v>105.33243636363636</v>
      </c>
      <c r="L14" s="25">
        <v>94.130176603773577</v>
      </c>
      <c r="M14" s="25">
        <v>117.47988261329382</v>
      </c>
      <c r="N14" s="76">
        <v>99.240868640316279</v>
      </c>
      <c r="O14" s="24">
        <f t="shared" si="0"/>
        <v>158.68920734908133</v>
      </c>
      <c r="P14" s="25">
        <f t="shared" si="1"/>
        <v>32.191191144401252</v>
      </c>
      <c r="Q14" s="26">
        <f t="shared" si="2"/>
        <v>103.00198574229199</v>
      </c>
    </row>
    <row r="15" spans="1:18" ht="19.5" customHeight="1">
      <c r="A15" s="19">
        <v>11</v>
      </c>
      <c r="B15" s="20" t="s">
        <v>32</v>
      </c>
      <c r="C15" s="21">
        <v>61.4</v>
      </c>
      <c r="D15" s="25">
        <v>34.08</v>
      </c>
      <c r="E15" s="25">
        <v>47.5</v>
      </c>
      <c r="F15" s="25">
        <v>46.39</v>
      </c>
      <c r="G15" s="25">
        <v>53.93</v>
      </c>
      <c r="H15" s="25">
        <v>40.98</v>
      </c>
      <c r="I15" s="25">
        <v>44.42</v>
      </c>
      <c r="J15" s="25">
        <v>53.02</v>
      </c>
      <c r="K15" s="25">
        <v>40.75</v>
      </c>
      <c r="L15" s="25">
        <v>37.340000000000003</v>
      </c>
      <c r="M15" s="25">
        <v>48.33</v>
      </c>
      <c r="N15" s="76">
        <v>42.26</v>
      </c>
      <c r="O15" s="24">
        <f t="shared" si="0"/>
        <v>61.4</v>
      </c>
      <c r="P15" s="25">
        <f t="shared" si="1"/>
        <v>34.08</v>
      </c>
      <c r="Q15" s="26">
        <f t="shared" si="2"/>
        <v>45.866666666666674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71.599999999999994</v>
      </c>
      <c r="D16" s="25">
        <v>36.5</v>
      </c>
      <c r="E16" s="25">
        <v>45.6</v>
      </c>
      <c r="F16" s="25">
        <v>44.5</v>
      </c>
      <c r="G16" s="25">
        <v>50.1</v>
      </c>
      <c r="H16" s="25">
        <v>56.1</v>
      </c>
      <c r="I16" s="25">
        <v>58.3</v>
      </c>
      <c r="J16" s="25">
        <v>60.3</v>
      </c>
      <c r="K16" s="25">
        <v>45.7</v>
      </c>
      <c r="L16" s="25">
        <v>42.9</v>
      </c>
      <c r="M16" s="25">
        <v>51.6</v>
      </c>
      <c r="N16" s="76">
        <v>49.7</v>
      </c>
      <c r="O16" s="24">
        <f t="shared" si="0"/>
        <v>71.599999999999994</v>
      </c>
      <c r="P16" s="25">
        <f t="shared" si="1"/>
        <v>36.5</v>
      </c>
      <c r="Q16" s="26">
        <f t="shared" si="2"/>
        <v>51.074999999999996</v>
      </c>
    </row>
    <row r="17" spans="1:18" ht="19.5" customHeight="1">
      <c r="A17" s="19">
        <v>13</v>
      </c>
      <c r="B17" s="20" t="s">
        <v>35</v>
      </c>
      <c r="C17" s="21">
        <v>65.290000000000006</v>
      </c>
      <c r="D17" s="25">
        <v>40.700000000000003</v>
      </c>
      <c r="E17" s="25">
        <v>56.41</v>
      </c>
      <c r="F17" s="25">
        <v>47.51</v>
      </c>
      <c r="G17" s="25">
        <v>60.56</v>
      </c>
      <c r="H17" s="25">
        <v>49.09</v>
      </c>
      <c r="I17" s="25">
        <v>49.26</v>
      </c>
      <c r="J17" s="25">
        <v>62.43</v>
      </c>
      <c r="K17" s="25">
        <v>44.72</v>
      </c>
      <c r="L17" s="25">
        <v>40.01</v>
      </c>
      <c r="M17" s="25">
        <v>51.42</v>
      </c>
      <c r="N17" s="76">
        <v>48.72</v>
      </c>
      <c r="O17" s="24">
        <f t="shared" si="0"/>
        <v>65.290000000000006</v>
      </c>
      <c r="P17" s="25">
        <f t="shared" si="1"/>
        <v>40.01</v>
      </c>
      <c r="Q17" s="26">
        <f t="shared" si="2"/>
        <v>51.343333333333334</v>
      </c>
    </row>
    <row r="18" spans="1:18" ht="19.5" customHeight="1">
      <c r="A18" s="54">
        <v>14</v>
      </c>
      <c r="B18" s="20" t="s">
        <v>36</v>
      </c>
      <c r="C18" s="21" t="s">
        <v>21</v>
      </c>
      <c r="D18" s="21" t="s">
        <v>21</v>
      </c>
      <c r="E18" s="25">
        <v>53.260899999999999</v>
      </c>
      <c r="F18" s="21" t="s">
        <v>21</v>
      </c>
      <c r="G18" s="21" t="s">
        <v>21</v>
      </c>
      <c r="H18" s="25">
        <v>44.826500000000003</v>
      </c>
      <c r="I18" s="25">
        <v>45.56</v>
      </c>
      <c r="J18" s="25">
        <v>54.207900000000002</v>
      </c>
      <c r="K18" s="25">
        <v>43.36</v>
      </c>
      <c r="L18" s="25">
        <v>43.070800000000006</v>
      </c>
      <c r="M18" s="25">
        <v>52.331600000000009</v>
      </c>
      <c r="N18" s="76">
        <v>45.2288</v>
      </c>
      <c r="O18" s="24">
        <f t="shared" si="0"/>
        <v>54.207900000000002</v>
      </c>
      <c r="P18" s="25">
        <f t="shared" si="1"/>
        <v>43.070800000000006</v>
      </c>
      <c r="Q18" s="26">
        <f t="shared" si="2"/>
        <v>47.730812499999999</v>
      </c>
    </row>
    <row r="19" spans="1:18" ht="19.5" customHeight="1">
      <c r="A19" s="19">
        <v>15</v>
      </c>
      <c r="B19" s="20" t="s">
        <v>37</v>
      </c>
      <c r="C19" s="21">
        <v>54.72</v>
      </c>
      <c r="D19" s="25">
        <v>36</v>
      </c>
      <c r="E19" s="25">
        <v>50.4</v>
      </c>
      <c r="F19" s="25">
        <v>40.32</v>
      </c>
      <c r="G19" s="25">
        <v>50.4</v>
      </c>
      <c r="H19" s="25">
        <v>40.32</v>
      </c>
      <c r="I19" s="25">
        <v>40.32</v>
      </c>
      <c r="J19" s="25">
        <v>50.4</v>
      </c>
      <c r="K19" s="25">
        <v>41.76</v>
      </c>
      <c r="L19" s="25">
        <v>38.880000000000003</v>
      </c>
      <c r="M19" s="25">
        <v>50.4</v>
      </c>
      <c r="N19" s="76">
        <v>40.32</v>
      </c>
      <c r="O19" s="24">
        <f t="shared" si="0"/>
        <v>54.72</v>
      </c>
      <c r="P19" s="25">
        <f t="shared" si="1"/>
        <v>36</v>
      </c>
      <c r="Q19" s="26">
        <f t="shared" si="2"/>
        <v>44.52</v>
      </c>
    </row>
    <row r="20" spans="1:18" ht="19.5" customHeight="1">
      <c r="A20" s="55">
        <v>16</v>
      </c>
      <c r="B20" s="56" t="s">
        <v>38</v>
      </c>
      <c r="C20" s="66">
        <v>47.81</v>
      </c>
      <c r="D20" s="61">
        <v>35</v>
      </c>
      <c r="E20" s="61">
        <v>53.37</v>
      </c>
      <c r="F20" s="61">
        <v>43.1</v>
      </c>
      <c r="G20" s="61">
        <v>48.49</v>
      </c>
      <c r="H20" s="61">
        <v>41.02</v>
      </c>
      <c r="I20" s="61">
        <v>40.61</v>
      </c>
      <c r="J20" s="61">
        <v>48.59</v>
      </c>
      <c r="K20" s="61">
        <v>46.67</v>
      </c>
      <c r="L20" s="61">
        <v>43.23</v>
      </c>
      <c r="M20" s="61">
        <v>49.57</v>
      </c>
      <c r="N20" s="83">
        <v>42.77</v>
      </c>
      <c r="O20" s="60">
        <f t="shared" si="0"/>
        <v>53.37</v>
      </c>
      <c r="P20" s="61">
        <f t="shared" si="1"/>
        <v>35</v>
      </c>
      <c r="Q20" s="62">
        <f t="shared" si="2"/>
        <v>45.019166666666671</v>
      </c>
    </row>
    <row r="21" spans="1:18" ht="19.5" customHeight="1">
      <c r="A21" s="37">
        <v>17</v>
      </c>
      <c r="B21" s="38" t="s">
        <v>39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42">
        <v>39.363952821272889</v>
      </c>
      <c r="I21" s="42">
        <v>31.141141880341884</v>
      </c>
      <c r="J21" s="42">
        <v>21.210602081429716</v>
      </c>
      <c r="K21" s="42">
        <v>45.574873525999081</v>
      </c>
      <c r="L21" s="42">
        <v>31.636921309035536</v>
      </c>
      <c r="M21" s="42">
        <v>36.221576905846803</v>
      </c>
      <c r="N21" s="81">
        <v>37.394784587463349</v>
      </c>
      <c r="O21" s="41">
        <f t="shared" si="0"/>
        <v>45.574873525999081</v>
      </c>
      <c r="P21" s="42">
        <f t="shared" si="1"/>
        <v>21.210602081429716</v>
      </c>
      <c r="Q21" s="43">
        <f t="shared" si="2"/>
        <v>34.649121873055606</v>
      </c>
      <c r="R21" s="64"/>
    </row>
    <row r="22" spans="1:18" ht="19.5" customHeight="1">
      <c r="A22" s="19">
        <v>18</v>
      </c>
      <c r="B22" s="20" t="s">
        <v>40</v>
      </c>
      <c r="C22" s="21">
        <v>25.091812080536911</v>
      </c>
      <c r="D22" s="25">
        <v>43.360067114093965</v>
      </c>
      <c r="E22" s="25">
        <v>40.400570469798659</v>
      </c>
      <c r="F22" s="25">
        <v>49.829664429530204</v>
      </c>
      <c r="G22" s="25">
        <v>40.164597315436239</v>
      </c>
      <c r="H22" s="25">
        <v>39.694617449664428</v>
      </c>
      <c r="I22" s="25">
        <v>51.088187919463088</v>
      </c>
      <c r="J22" s="25">
        <v>34.186610738255034</v>
      </c>
      <c r="K22" s="25">
        <v>39.987617449664427</v>
      </c>
      <c r="L22" s="25">
        <v>49.593691275167785</v>
      </c>
      <c r="M22" s="25">
        <v>39.908959731543625</v>
      </c>
      <c r="N22" s="76">
        <v>50.576912751677852</v>
      </c>
      <c r="O22" s="24">
        <f t="shared" si="0"/>
        <v>51.088187919463088</v>
      </c>
      <c r="P22" s="25">
        <f t="shared" si="1"/>
        <v>25.091812080536911</v>
      </c>
      <c r="Q22" s="26">
        <f t="shared" si="2"/>
        <v>41.990275727069353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20.21</v>
      </c>
      <c r="E23" s="25">
        <v>46.07</v>
      </c>
      <c r="F23" s="25">
        <v>41.89</v>
      </c>
      <c r="G23" s="25">
        <v>43.93</v>
      </c>
      <c r="H23" s="25">
        <v>43.14</v>
      </c>
      <c r="I23" s="25">
        <v>42.13</v>
      </c>
      <c r="J23" s="25">
        <v>40.36</v>
      </c>
      <c r="K23" s="25">
        <v>40.96</v>
      </c>
      <c r="L23" s="25">
        <v>59.47</v>
      </c>
      <c r="M23" s="25">
        <v>49.82</v>
      </c>
      <c r="N23" s="76">
        <v>37.25</v>
      </c>
      <c r="O23" s="24">
        <f t="shared" si="0"/>
        <v>59.47</v>
      </c>
      <c r="P23" s="25">
        <f t="shared" si="1"/>
        <v>20.21</v>
      </c>
      <c r="Q23" s="26">
        <f t="shared" si="2"/>
        <v>42.293636363636359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1" t="s">
        <v>21</v>
      </c>
      <c r="E24" s="21" t="s">
        <v>21</v>
      </c>
      <c r="F24" s="21" t="s">
        <v>21</v>
      </c>
      <c r="G24" s="21" t="s">
        <v>21</v>
      </c>
      <c r="H24" s="21" t="s">
        <v>21</v>
      </c>
      <c r="I24" s="25">
        <v>40.950000000000003</v>
      </c>
      <c r="J24" s="25">
        <v>107.74</v>
      </c>
      <c r="K24" s="25">
        <v>26.98</v>
      </c>
      <c r="L24" s="25">
        <v>33.020000000000003</v>
      </c>
      <c r="M24" s="25">
        <v>17.84</v>
      </c>
      <c r="N24" s="85">
        <v>36.049999999999997</v>
      </c>
      <c r="O24" s="24">
        <f t="shared" si="0"/>
        <v>107.74</v>
      </c>
      <c r="P24" s="25">
        <f t="shared" si="1"/>
        <v>17.84</v>
      </c>
      <c r="Q24" s="26">
        <f t="shared" si="2"/>
        <v>43.763333333333328</v>
      </c>
      <c r="R24" s="49" t="s">
        <v>44</v>
      </c>
    </row>
    <row r="25" spans="1:18" ht="19.5" customHeight="1">
      <c r="A25" s="44">
        <v>21</v>
      </c>
      <c r="B25" s="45" t="s">
        <v>45</v>
      </c>
      <c r="C25" s="21" t="s">
        <v>21</v>
      </c>
      <c r="D25" s="21" t="s">
        <v>21</v>
      </c>
      <c r="E25" s="21" t="s">
        <v>21</v>
      </c>
      <c r="F25" s="21" t="s">
        <v>21</v>
      </c>
      <c r="G25" s="21" t="s">
        <v>21</v>
      </c>
      <c r="H25" s="21" t="s">
        <v>21</v>
      </c>
      <c r="I25" s="21" t="s">
        <v>21</v>
      </c>
      <c r="J25" s="86">
        <v>27.17</v>
      </c>
      <c r="K25" s="47">
        <v>21.98</v>
      </c>
      <c r="L25" s="47">
        <v>17.62</v>
      </c>
      <c r="M25" s="47">
        <v>22.54</v>
      </c>
      <c r="N25" s="87">
        <v>16.73</v>
      </c>
      <c r="O25" s="46">
        <f t="shared" si="0"/>
        <v>27.17</v>
      </c>
      <c r="P25" s="47">
        <f t="shared" si="1"/>
        <v>16.73</v>
      </c>
      <c r="Q25" s="48">
        <f t="shared" si="2"/>
        <v>21.208000000000002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152.01599999999999</v>
      </c>
      <c r="D26" s="17">
        <v>81.781000000000006</v>
      </c>
      <c r="E26" s="17">
        <v>81.828999999999994</v>
      </c>
      <c r="F26" s="17">
        <v>91.462999999999994</v>
      </c>
      <c r="G26" s="17">
        <v>135.84800000000001</v>
      </c>
      <c r="H26" s="17">
        <v>122.035</v>
      </c>
      <c r="I26" s="17">
        <v>98.200999999999993</v>
      </c>
      <c r="J26" s="17">
        <v>76.378</v>
      </c>
      <c r="K26" s="17">
        <v>72.683999999999997</v>
      </c>
      <c r="L26" s="17">
        <v>84.379000000000005</v>
      </c>
      <c r="M26" s="17">
        <v>147.011</v>
      </c>
      <c r="N26" s="75">
        <v>83.275999999999996</v>
      </c>
      <c r="O26" s="16">
        <f t="shared" si="0"/>
        <v>152.01599999999999</v>
      </c>
      <c r="P26" s="17">
        <f t="shared" si="1"/>
        <v>72.683999999999997</v>
      </c>
      <c r="Q26" s="18">
        <f t="shared" si="2"/>
        <v>102.24175000000001</v>
      </c>
    </row>
    <row r="27" spans="1:18" ht="19.5" customHeight="1">
      <c r="A27" s="19">
        <v>23</v>
      </c>
      <c r="B27" s="20" t="s">
        <v>48</v>
      </c>
      <c r="C27" s="21" t="s">
        <v>21</v>
      </c>
      <c r="D27" s="21" t="s">
        <v>21</v>
      </c>
      <c r="E27" s="84">
        <v>9.68</v>
      </c>
      <c r="F27" s="25">
        <v>73.5</v>
      </c>
      <c r="G27" s="25">
        <v>44.3</v>
      </c>
      <c r="H27" s="25">
        <v>31.8</v>
      </c>
      <c r="I27" s="25">
        <v>43.680386015911736</v>
      </c>
      <c r="J27" s="25">
        <v>45.960111902357099</v>
      </c>
      <c r="K27" s="25">
        <v>45.07727589154026</v>
      </c>
      <c r="L27" s="25">
        <v>33.869404844686564</v>
      </c>
      <c r="M27" s="25">
        <v>73.157865310263787</v>
      </c>
      <c r="N27" s="85">
        <v>36.397687130714871</v>
      </c>
      <c r="O27" s="24">
        <f t="shared" si="0"/>
        <v>73.5</v>
      </c>
      <c r="P27" s="25">
        <f t="shared" si="1"/>
        <v>9.68</v>
      </c>
      <c r="Q27" s="26">
        <f t="shared" si="2"/>
        <v>43.742273109547433</v>
      </c>
      <c r="R27" s="49" t="s">
        <v>49</v>
      </c>
    </row>
    <row r="28" spans="1:18" ht="19.5" customHeight="1">
      <c r="A28" s="19">
        <v>24</v>
      </c>
      <c r="B28" s="20" t="s">
        <v>50</v>
      </c>
      <c r="C28" s="21" t="s">
        <v>21</v>
      </c>
      <c r="D28" s="25">
        <v>41</v>
      </c>
      <c r="E28" s="25">
        <v>38</v>
      </c>
      <c r="F28" s="25">
        <v>41</v>
      </c>
      <c r="G28" s="25">
        <v>45</v>
      </c>
      <c r="H28" s="21" t="s">
        <v>21</v>
      </c>
      <c r="I28" s="25">
        <v>43</v>
      </c>
      <c r="J28" s="25">
        <v>46</v>
      </c>
      <c r="K28" s="25">
        <v>40</v>
      </c>
      <c r="L28" s="21" t="s">
        <v>21</v>
      </c>
      <c r="M28" s="25">
        <v>40</v>
      </c>
      <c r="N28" s="21" t="s">
        <v>21</v>
      </c>
      <c r="O28" s="24">
        <f t="shared" si="0"/>
        <v>46</v>
      </c>
      <c r="P28" s="25">
        <f t="shared" si="1"/>
        <v>38</v>
      </c>
      <c r="Q28" s="26">
        <f t="shared" si="2"/>
        <v>41.75</v>
      </c>
      <c r="R28" s="49" t="s">
        <v>51</v>
      </c>
    </row>
    <row r="29" spans="1:18" ht="19.5" customHeight="1">
      <c r="A29" s="55">
        <v>25</v>
      </c>
      <c r="B29" s="56" t="s">
        <v>52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61">
        <v>14.77</v>
      </c>
      <c r="I29" s="61">
        <v>19.68</v>
      </c>
      <c r="J29" s="61">
        <v>24.48</v>
      </c>
      <c r="K29" s="61">
        <v>20.91</v>
      </c>
      <c r="L29" s="61">
        <v>13.22</v>
      </c>
      <c r="M29" s="61">
        <v>48.07</v>
      </c>
      <c r="N29" s="83">
        <v>38.049999999999997</v>
      </c>
      <c r="O29" s="60">
        <f t="shared" si="0"/>
        <v>48.07</v>
      </c>
      <c r="P29" s="61">
        <f t="shared" si="1"/>
        <v>13.22</v>
      </c>
      <c r="Q29" s="62">
        <f t="shared" si="2"/>
        <v>25.59714285714286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56</v>
      </c>
    </row>
    <row r="3" spans="1:18" ht="19.5" customHeight="1">
      <c r="O3" s="5" t="s">
        <v>57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57.0782270985013*0.53</f>
        <v>30.251460362205691</v>
      </c>
      <c r="D5" s="17">
        <f>30.6847715928412*0.53</f>
        <v>16.262928944205839</v>
      </c>
      <c r="E5" s="17">
        <f>51.3684927374124*0.53</f>
        <v>27.225301150828574</v>
      </c>
      <c r="F5" s="17">
        <f>41.4549032667782*0.53</f>
        <v>21.971098731392448</v>
      </c>
      <c r="G5" s="17">
        <f>35.0079469954087*0.53</f>
        <v>18.554211907566614</v>
      </c>
      <c r="H5" s="17">
        <f>25.6461280104658*0.53</f>
        <v>13.592447845546875</v>
      </c>
      <c r="I5" s="17">
        <f>17.1184460580962*0.53</f>
        <v>9.0727764107909863</v>
      </c>
      <c r="J5" s="17">
        <f>21.0520906752275*0.53</f>
        <v>11.157608057870576</v>
      </c>
      <c r="K5" s="17">
        <f>44.3078675941311*0.53</f>
        <v>23.483169824889487</v>
      </c>
      <c r="L5" s="17">
        <f>43.3569134029879*0.53</f>
        <v>22.979164103583589</v>
      </c>
      <c r="M5" s="17">
        <f>60.4842822664408*0.53</f>
        <v>32.056669601213628</v>
      </c>
      <c r="N5" s="75">
        <f>44.6128764194659*0.53</f>
        <v>23.644824502316926</v>
      </c>
      <c r="O5" s="16">
        <f t="shared" ref="O5:O26" si="0">MAX(C5:N5)</f>
        <v>32.056669601213628</v>
      </c>
      <c r="P5" s="17">
        <f t="shared" ref="P5:P29" si="1">MIN(C5:N5)</f>
        <v>9.0727764107909863</v>
      </c>
      <c r="Q5" s="18">
        <f t="shared" ref="Q5:Q29" si="2">AVERAGE(C5:N5)</f>
        <v>20.854305120200937</v>
      </c>
    </row>
    <row r="6" spans="1:18" ht="19.5" customHeight="1">
      <c r="A6" s="19">
        <v>2</v>
      </c>
      <c r="B6" s="20" t="s">
        <v>20</v>
      </c>
      <c r="C6" s="21" t="s">
        <v>21</v>
      </c>
      <c r="D6" s="25">
        <v>27.3</v>
      </c>
      <c r="E6" s="25">
        <v>33.200000000000003</v>
      </c>
      <c r="F6" s="25">
        <v>35.299999999999997</v>
      </c>
      <c r="G6" s="25">
        <v>27.9</v>
      </c>
      <c r="H6" s="25">
        <v>22.6</v>
      </c>
      <c r="I6" s="25">
        <v>18.899999999999999</v>
      </c>
      <c r="J6" s="25">
        <v>27</v>
      </c>
      <c r="K6" s="25">
        <v>26.4</v>
      </c>
      <c r="L6" s="25">
        <v>23.3</v>
      </c>
      <c r="M6" s="25">
        <v>33.299999999999997</v>
      </c>
      <c r="N6" s="76">
        <v>22.8</v>
      </c>
      <c r="O6" s="24">
        <f t="shared" si="0"/>
        <v>35.299999999999997</v>
      </c>
      <c r="P6" s="25">
        <f t="shared" si="1"/>
        <v>18.899999999999999</v>
      </c>
      <c r="Q6" s="26">
        <f t="shared" si="2"/>
        <v>27.09090909090909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12.4</v>
      </c>
      <c r="F7" s="25" t="s">
        <v>21</v>
      </c>
      <c r="G7" s="25">
        <v>13.5</v>
      </c>
      <c r="H7" s="25" t="s">
        <v>21</v>
      </c>
      <c r="I7" s="25">
        <v>28</v>
      </c>
      <c r="J7" s="25" t="s">
        <v>21</v>
      </c>
      <c r="K7" s="25" t="s">
        <v>21</v>
      </c>
      <c r="L7" s="25" t="s">
        <v>21</v>
      </c>
      <c r="M7" s="25">
        <v>123</v>
      </c>
      <c r="N7" s="76" t="s">
        <v>21</v>
      </c>
      <c r="O7" s="24">
        <f t="shared" si="0"/>
        <v>123</v>
      </c>
      <c r="P7" s="25">
        <f t="shared" si="1"/>
        <v>12.4</v>
      </c>
      <c r="Q7" s="26">
        <f t="shared" si="2"/>
        <v>44.225000000000001</v>
      </c>
    </row>
    <row r="8" spans="1:18" ht="19.5" customHeight="1">
      <c r="A8" s="27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22.420784204206463</v>
      </c>
      <c r="G8" s="25">
        <v>12.948728867693649</v>
      </c>
      <c r="H8" s="25">
        <v>20.353017326982176</v>
      </c>
      <c r="I8" s="25">
        <v>17.508099332226639</v>
      </c>
      <c r="J8" s="25">
        <v>21.913527236735703</v>
      </c>
      <c r="K8" s="25">
        <v>18.32372053069043</v>
      </c>
      <c r="L8" s="25">
        <v>16.787306539573517</v>
      </c>
      <c r="M8" s="25">
        <v>23.502730389814776</v>
      </c>
      <c r="N8" s="76">
        <v>24.233938278004899</v>
      </c>
      <c r="O8" s="24">
        <f t="shared" si="0"/>
        <v>24.233938278004899</v>
      </c>
      <c r="P8" s="25">
        <f t="shared" si="1"/>
        <v>12.948728867693649</v>
      </c>
      <c r="Q8" s="26">
        <f t="shared" si="2"/>
        <v>19.776872522880918</v>
      </c>
    </row>
    <row r="9" spans="1:18" ht="19.5" customHeight="1">
      <c r="A9" s="28">
        <v>5</v>
      </c>
      <c r="B9" s="29" t="s">
        <v>24</v>
      </c>
      <c r="C9" s="77">
        <v>37.68</v>
      </c>
      <c r="D9" s="35">
        <v>54.97</v>
      </c>
      <c r="E9" s="78">
        <v>44.13</v>
      </c>
      <c r="F9" s="35">
        <v>29.22</v>
      </c>
      <c r="G9" s="35">
        <v>30.74</v>
      </c>
      <c r="H9" s="35">
        <v>45.9</v>
      </c>
      <c r="I9" s="78">
        <v>31.75</v>
      </c>
      <c r="J9" s="35">
        <v>28.59</v>
      </c>
      <c r="K9" s="35">
        <v>28.28</v>
      </c>
      <c r="L9" s="35">
        <v>27.68</v>
      </c>
      <c r="M9" s="35">
        <v>33.130000000000003</v>
      </c>
      <c r="N9" s="79">
        <v>37.630000000000003</v>
      </c>
      <c r="O9" s="34">
        <f t="shared" si="0"/>
        <v>54.97</v>
      </c>
      <c r="P9" s="35">
        <f t="shared" si="1"/>
        <v>27.68</v>
      </c>
      <c r="Q9" s="36">
        <f t="shared" si="2"/>
        <v>35.80833333333333</v>
      </c>
    </row>
    <row r="10" spans="1:18" ht="19.5" customHeight="1">
      <c r="A10" s="37">
        <v>6</v>
      </c>
      <c r="B10" s="38" t="s">
        <v>25</v>
      </c>
      <c r="C10" s="63">
        <v>52.515150905432598</v>
      </c>
      <c r="D10" s="42">
        <v>91.321805157593118</v>
      </c>
      <c r="E10" s="42">
        <v>64.934691991786451</v>
      </c>
      <c r="F10" s="42">
        <v>44.619847560975614</v>
      </c>
      <c r="G10" s="42">
        <v>66.33964016736401</v>
      </c>
      <c r="H10" s="80">
        <v>76.522983293556095</v>
      </c>
      <c r="I10" s="42">
        <v>43.155743243243236</v>
      </c>
      <c r="J10" s="42">
        <v>32.659349593495932</v>
      </c>
      <c r="K10" s="42">
        <v>22.491909385113267</v>
      </c>
      <c r="L10" s="42">
        <v>29.283026188166829</v>
      </c>
      <c r="M10" s="42">
        <v>22.511484374999998</v>
      </c>
      <c r="N10" s="81">
        <v>22.006920731707318</v>
      </c>
      <c r="O10" s="41">
        <f t="shared" si="0"/>
        <v>91.321805157593118</v>
      </c>
      <c r="P10" s="42">
        <f t="shared" si="1"/>
        <v>22.006920731707318</v>
      </c>
      <c r="Q10" s="43">
        <f t="shared" si="2"/>
        <v>47.363546049452872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43.8</v>
      </c>
      <c r="F11" s="47">
        <v>33.4</v>
      </c>
      <c r="G11" s="47">
        <v>25.5</v>
      </c>
      <c r="H11" s="47">
        <v>22.3</v>
      </c>
      <c r="I11" s="47">
        <v>34</v>
      </c>
      <c r="J11" s="47">
        <v>55</v>
      </c>
      <c r="K11" s="47">
        <v>36.5</v>
      </c>
      <c r="L11" s="47">
        <v>60</v>
      </c>
      <c r="M11" s="47">
        <v>38.700000000000003</v>
      </c>
      <c r="N11" s="82">
        <v>33.299999999999997</v>
      </c>
      <c r="O11" s="46">
        <f t="shared" si="0"/>
        <v>60</v>
      </c>
      <c r="P11" s="47">
        <f t="shared" si="1"/>
        <v>22.3</v>
      </c>
      <c r="Q11" s="48">
        <f t="shared" si="2"/>
        <v>38.25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1.1465000000000001</v>
      </c>
      <c r="D12" s="17">
        <v>28.857399999999998</v>
      </c>
      <c r="E12" s="17">
        <v>7.3030999999999997</v>
      </c>
      <c r="F12" s="17">
        <v>7.6204999999999998</v>
      </c>
      <c r="G12" s="17">
        <v>18.4285</v>
      </c>
      <c r="H12" s="17">
        <v>18.688800000000001</v>
      </c>
      <c r="I12" s="17">
        <v>11.650600000000001</v>
      </c>
      <c r="J12" s="17">
        <v>11.413399999999999</v>
      </c>
      <c r="K12" s="17">
        <v>23.2546</v>
      </c>
      <c r="L12" s="17">
        <v>18.245899999999999</v>
      </c>
      <c r="M12" s="17">
        <v>16.178899999999999</v>
      </c>
      <c r="N12" s="75">
        <v>17.5748</v>
      </c>
      <c r="O12" s="16">
        <f t="shared" si="0"/>
        <v>28.857399999999998</v>
      </c>
      <c r="P12" s="17">
        <f t="shared" si="1"/>
        <v>1.1465000000000001</v>
      </c>
      <c r="Q12" s="18">
        <f t="shared" si="2"/>
        <v>15.030250000000001</v>
      </c>
    </row>
    <row r="13" spans="1:18" ht="19.5" customHeight="1">
      <c r="A13" s="19">
        <v>9</v>
      </c>
      <c r="B13" s="20" t="s">
        <v>29</v>
      </c>
      <c r="C13" s="21">
        <v>49.84</v>
      </c>
      <c r="D13" s="25">
        <v>74.7</v>
      </c>
      <c r="E13" s="25">
        <v>51.56</v>
      </c>
      <c r="F13" s="25">
        <v>43.84</v>
      </c>
      <c r="G13" s="25">
        <v>35.01</v>
      </c>
      <c r="H13" s="25">
        <v>57.04</v>
      </c>
      <c r="I13" s="25">
        <v>40.47</v>
      </c>
      <c r="J13" s="25">
        <v>42.18</v>
      </c>
      <c r="K13" s="25">
        <v>34.85</v>
      </c>
      <c r="L13" s="25">
        <v>43.89</v>
      </c>
      <c r="M13" s="25">
        <v>54.58</v>
      </c>
      <c r="N13" s="76">
        <v>54.77</v>
      </c>
      <c r="O13" s="24">
        <f t="shared" si="0"/>
        <v>74.7</v>
      </c>
      <c r="P13" s="25">
        <f t="shared" si="1"/>
        <v>34.85</v>
      </c>
      <c r="Q13" s="26">
        <f t="shared" si="2"/>
        <v>48.560833333333335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25.257547071826245</v>
      </c>
      <c r="D14" s="25">
        <v>60.078547305832288</v>
      </c>
      <c r="E14" s="25">
        <v>35.351905167184491</v>
      </c>
      <c r="F14" s="25">
        <v>53.771023967578685</v>
      </c>
      <c r="G14" s="25">
        <v>34.030539575168582</v>
      </c>
      <c r="H14" s="25">
        <v>38.888114189398401</v>
      </c>
      <c r="I14" s="25">
        <v>38.528687322392578</v>
      </c>
      <c r="J14" s="25">
        <v>35.078435868877875</v>
      </c>
      <c r="K14" s="25">
        <v>36.151938747657105</v>
      </c>
      <c r="L14" s="25">
        <v>17.975048241628073</v>
      </c>
      <c r="M14" s="25">
        <v>50.891146421764887</v>
      </c>
      <c r="N14" s="76">
        <v>57.476320775398456</v>
      </c>
      <c r="O14" s="24">
        <f t="shared" si="0"/>
        <v>60.078547305832288</v>
      </c>
      <c r="P14" s="25">
        <f t="shared" si="1"/>
        <v>17.975048241628073</v>
      </c>
      <c r="Q14" s="26">
        <f t="shared" si="2"/>
        <v>40.289937887892307</v>
      </c>
    </row>
    <row r="15" spans="1:18" ht="19.5" customHeight="1">
      <c r="A15" s="19">
        <v>11</v>
      </c>
      <c r="B15" s="20" t="s">
        <v>32</v>
      </c>
      <c r="C15" s="21">
        <v>38.144349574570263</v>
      </c>
      <c r="D15" s="25">
        <v>72.658535666525779</v>
      </c>
      <c r="E15" s="25">
        <v>40.171038071641902</v>
      </c>
      <c r="F15" s="25">
        <v>52.89835742906893</v>
      </c>
      <c r="G15" s="25">
        <v>29.819561784441689</v>
      </c>
      <c r="H15" s="25">
        <v>40.604285368220609</v>
      </c>
      <c r="I15" s="25">
        <v>43.777789663721869</v>
      </c>
      <c r="J15" s="25">
        <v>35.601416578158108</v>
      </c>
      <c r="K15" s="25">
        <v>37.057310162529696</v>
      </c>
      <c r="L15" s="25">
        <v>37.759456273680136</v>
      </c>
      <c r="M15" s="25">
        <v>44.951033872510003</v>
      </c>
      <c r="N15" s="76">
        <v>40.538525199337414</v>
      </c>
      <c r="O15" s="24">
        <f t="shared" si="0"/>
        <v>72.658535666525779</v>
      </c>
      <c r="P15" s="25">
        <f t="shared" si="1"/>
        <v>29.819561784441689</v>
      </c>
      <c r="Q15" s="26">
        <f t="shared" si="2"/>
        <v>42.831804970367195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18.399999999999999</v>
      </c>
      <c r="D16" s="25">
        <v>23.9</v>
      </c>
      <c r="E16" s="25">
        <v>31.2</v>
      </c>
      <c r="F16" s="25">
        <v>17.8</v>
      </c>
      <c r="G16" s="25">
        <v>28.2</v>
      </c>
      <c r="H16" s="25">
        <v>3.6</v>
      </c>
      <c r="I16" s="25">
        <v>5.7</v>
      </c>
      <c r="J16" s="25">
        <v>7.4</v>
      </c>
      <c r="K16" s="25">
        <v>9.1</v>
      </c>
      <c r="L16" s="25">
        <v>1.1000000000000001</v>
      </c>
      <c r="M16" s="25">
        <v>2.8</v>
      </c>
      <c r="N16" s="76">
        <v>8.3000000000000007</v>
      </c>
      <c r="O16" s="24">
        <f t="shared" si="0"/>
        <v>31.2</v>
      </c>
      <c r="P16" s="25">
        <f t="shared" si="1"/>
        <v>1.1000000000000001</v>
      </c>
      <c r="Q16" s="26">
        <f t="shared" si="2"/>
        <v>13.125</v>
      </c>
    </row>
    <row r="17" spans="1:18" ht="19.5" customHeight="1">
      <c r="A17" s="19">
        <v>13</v>
      </c>
      <c r="B17" s="20" t="s">
        <v>35</v>
      </c>
      <c r="C17" s="21">
        <v>31.12</v>
      </c>
      <c r="D17" s="25">
        <v>72.13</v>
      </c>
      <c r="E17" s="25">
        <v>34.880000000000003</v>
      </c>
      <c r="F17" s="25">
        <v>37.729999999999997</v>
      </c>
      <c r="G17" s="25">
        <v>33.9</v>
      </c>
      <c r="H17" s="25">
        <v>47.08</v>
      </c>
      <c r="I17" s="25">
        <v>30.3</v>
      </c>
      <c r="J17" s="25">
        <v>37.25</v>
      </c>
      <c r="K17" s="25">
        <v>37.94</v>
      </c>
      <c r="L17" s="25">
        <v>29.56</v>
      </c>
      <c r="M17" s="25">
        <v>44.71</v>
      </c>
      <c r="N17" s="76">
        <v>51.46</v>
      </c>
      <c r="O17" s="24">
        <f t="shared" si="0"/>
        <v>72.13</v>
      </c>
      <c r="P17" s="25">
        <f t="shared" si="1"/>
        <v>29.56</v>
      </c>
      <c r="Q17" s="26">
        <f t="shared" si="2"/>
        <v>40.67166666666666</v>
      </c>
    </row>
    <row r="18" spans="1:18" ht="19.5" customHeight="1">
      <c r="A18" s="54">
        <v>14</v>
      </c>
      <c r="B18" s="20" t="s">
        <v>36</v>
      </c>
      <c r="C18" s="21" t="s">
        <v>21</v>
      </c>
      <c r="D18" s="25" t="s">
        <v>21</v>
      </c>
      <c r="E18" s="25">
        <v>21.634053035121479</v>
      </c>
      <c r="F18" s="25" t="s">
        <v>21</v>
      </c>
      <c r="G18" s="25" t="s">
        <v>21</v>
      </c>
      <c r="H18" s="25">
        <v>35.543974299039114</v>
      </c>
      <c r="I18" s="25">
        <v>18.965826088346876</v>
      </c>
      <c r="J18" s="25">
        <v>25.347335292770406</v>
      </c>
      <c r="K18" s="25">
        <v>32.183397693578854</v>
      </c>
      <c r="L18" s="25">
        <v>26.116481991526456</v>
      </c>
      <c r="M18" s="25">
        <v>36.174309843081616</v>
      </c>
      <c r="N18" s="76">
        <v>37.782244544787041</v>
      </c>
      <c r="O18" s="24">
        <f t="shared" si="0"/>
        <v>37.782244544787041</v>
      </c>
      <c r="P18" s="25">
        <f t="shared" si="1"/>
        <v>18.965826088346876</v>
      </c>
      <c r="Q18" s="26">
        <f t="shared" si="2"/>
        <v>29.218452848531477</v>
      </c>
    </row>
    <row r="19" spans="1:18" ht="19.5" customHeight="1">
      <c r="A19" s="19">
        <v>15</v>
      </c>
      <c r="B19" s="20" t="s">
        <v>37</v>
      </c>
      <c r="C19" s="21">
        <v>33.799999999999997</v>
      </c>
      <c r="D19" s="25">
        <v>45.94</v>
      </c>
      <c r="E19" s="25">
        <v>26.64</v>
      </c>
      <c r="F19" s="25">
        <v>19.89</v>
      </c>
      <c r="G19" s="25">
        <v>24.75</v>
      </c>
      <c r="H19" s="25">
        <v>35.75</v>
      </c>
      <c r="I19" s="25">
        <v>28.07</v>
      </c>
      <c r="J19" s="25">
        <v>38.86</v>
      </c>
      <c r="K19" s="25">
        <v>52.34</v>
      </c>
      <c r="L19" s="25">
        <v>39.04</v>
      </c>
      <c r="M19" s="25">
        <v>44.49</v>
      </c>
      <c r="N19" s="76">
        <v>46.74</v>
      </c>
      <c r="O19" s="24">
        <f t="shared" si="0"/>
        <v>52.34</v>
      </c>
      <c r="P19" s="25">
        <f t="shared" si="1"/>
        <v>19.89</v>
      </c>
      <c r="Q19" s="26">
        <f t="shared" si="2"/>
        <v>36.359166666666667</v>
      </c>
    </row>
    <row r="20" spans="1:18" ht="19.5" customHeight="1">
      <c r="A20" s="55">
        <v>16</v>
      </c>
      <c r="B20" s="56" t="s">
        <v>38</v>
      </c>
      <c r="C20" s="66">
        <v>38.5</v>
      </c>
      <c r="D20" s="61">
        <v>75.8</v>
      </c>
      <c r="E20" s="61">
        <v>44.9</v>
      </c>
      <c r="F20" s="61">
        <v>50.2</v>
      </c>
      <c r="G20" s="61">
        <v>39.799999999999997</v>
      </c>
      <c r="H20" s="61">
        <v>46.7</v>
      </c>
      <c r="I20" s="61">
        <v>31.5</v>
      </c>
      <c r="J20" s="61">
        <v>32.6</v>
      </c>
      <c r="K20" s="61">
        <v>36.299999999999997</v>
      </c>
      <c r="L20" s="61">
        <v>34.9</v>
      </c>
      <c r="M20" s="61">
        <v>40.9</v>
      </c>
      <c r="N20" s="83">
        <v>47.1</v>
      </c>
      <c r="O20" s="60">
        <f t="shared" si="0"/>
        <v>75.8</v>
      </c>
      <c r="P20" s="61">
        <f t="shared" si="1"/>
        <v>31.5</v>
      </c>
      <c r="Q20" s="62">
        <f t="shared" si="2"/>
        <v>43.266666666666659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1.9124803401284374</v>
      </c>
      <c r="I21" s="42">
        <v>1.4708191828422197</v>
      </c>
      <c r="J21" s="42">
        <v>3.631782781989056</v>
      </c>
      <c r="K21" s="42">
        <v>13.430525200534342</v>
      </c>
      <c r="L21" s="42">
        <v>15.201586091799498</v>
      </c>
      <c r="M21" s="42">
        <v>15.461658057800594</v>
      </c>
      <c r="N21" s="81">
        <v>40.698413405497512</v>
      </c>
      <c r="O21" s="41">
        <f t="shared" si="0"/>
        <v>40.698413405497512</v>
      </c>
      <c r="P21" s="42">
        <f t="shared" si="1"/>
        <v>1.4708191828422197</v>
      </c>
      <c r="Q21" s="43">
        <f t="shared" si="2"/>
        <v>13.115323580084521</v>
      </c>
      <c r="R21" s="64"/>
    </row>
    <row r="22" spans="1:18" ht="19.5" customHeight="1">
      <c r="A22" s="19">
        <v>18</v>
      </c>
      <c r="B22" s="20" t="s">
        <v>40</v>
      </c>
      <c r="C22" s="21">
        <v>49.272306660684244</v>
      </c>
      <c r="D22" s="25">
        <v>69.821240516542787</v>
      </c>
      <c r="E22" s="25">
        <v>46.23705332695048</v>
      </c>
      <c r="F22" s="25">
        <v>38.038208977322192</v>
      </c>
      <c r="G22" s="25">
        <v>34.496110367131458</v>
      </c>
      <c r="H22" s="25">
        <v>52.2939951191183</v>
      </c>
      <c r="I22" s="25">
        <v>44.617381980346423</v>
      </c>
      <c r="J22" s="25">
        <v>40.418812792692449</v>
      </c>
      <c r="K22" s="25">
        <v>44.428181837146546</v>
      </c>
      <c r="L22" s="25">
        <v>81.072299218060266</v>
      </c>
      <c r="M22" s="25">
        <v>58.677481217595343</v>
      </c>
      <c r="N22" s="76">
        <v>75.757660600531281</v>
      </c>
      <c r="O22" s="24">
        <f t="shared" si="0"/>
        <v>81.072299218060266</v>
      </c>
      <c r="P22" s="25">
        <f t="shared" si="1"/>
        <v>34.496110367131458</v>
      </c>
      <c r="Q22" s="26">
        <f t="shared" si="2"/>
        <v>52.927561051176809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3.09</v>
      </c>
      <c r="E23" s="25">
        <v>6.78</v>
      </c>
      <c r="F23" s="25">
        <v>2.5859999999999999</v>
      </c>
      <c r="G23" s="25">
        <v>3.84</v>
      </c>
      <c r="H23" s="25">
        <v>3.38</v>
      </c>
      <c r="I23" s="25">
        <v>2.7189999999999999</v>
      </c>
      <c r="J23" s="25">
        <v>20.18</v>
      </c>
      <c r="K23" s="25">
        <v>4.1197999999999997</v>
      </c>
      <c r="L23" s="25">
        <v>8.27</v>
      </c>
      <c r="M23" s="25">
        <v>1.71</v>
      </c>
      <c r="N23" s="76">
        <v>2.85</v>
      </c>
      <c r="O23" s="24">
        <f t="shared" si="0"/>
        <v>20.18</v>
      </c>
      <c r="P23" s="25">
        <f t="shared" si="1"/>
        <v>1.71</v>
      </c>
      <c r="Q23" s="26">
        <f t="shared" si="2"/>
        <v>5.4113454545454545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35.200000000000003</v>
      </c>
      <c r="J24" s="25">
        <v>26.6</v>
      </c>
      <c r="K24" s="25">
        <v>41.1</v>
      </c>
      <c r="L24" s="25">
        <v>253</v>
      </c>
      <c r="M24" s="25">
        <v>166</v>
      </c>
      <c r="N24" s="85">
        <v>223</v>
      </c>
      <c r="O24" s="24">
        <f t="shared" si="0"/>
        <v>253</v>
      </c>
      <c r="P24" s="25">
        <f t="shared" si="1"/>
        <v>26.6</v>
      </c>
      <c r="Q24" s="26">
        <f t="shared" si="2"/>
        <v>124.14999999999999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>
        <v>2</v>
      </c>
      <c r="K25" s="47">
        <v>0</v>
      </c>
      <c r="L25" s="47">
        <v>0</v>
      </c>
      <c r="M25" s="47">
        <v>8.3000000000000007</v>
      </c>
      <c r="N25" s="87">
        <v>22.4</v>
      </c>
      <c r="O25" s="46">
        <f t="shared" si="0"/>
        <v>22.4</v>
      </c>
      <c r="P25" s="47">
        <f t="shared" si="1"/>
        <v>0</v>
      </c>
      <c r="Q25" s="48">
        <f t="shared" si="2"/>
        <v>6.5400000000000009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48.22</v>
      </c>
      <c r="D26" s="17">
        <v>80.489999999999995</v>
      </c>
      <c r="E26" s="17">
        <v>66.92</v>
      </c>
      <c r="F26" s="17">
        <v>67.209999999999994</v>
      </c>
      <c r="G26" s="17">
        <v>35.68</v>
      </c>
      <c r="H26" s="17">
        <v>60.86</v>
      </c>
      <c r="I26" s="17">
        <v>44.1</v>
      </c>
      <c r="J26" s="17">
        <v>56.76</v>
      </c>
      <c r="K26" s="17">
        <v>47.72</v>
      </c>
      <c r="L26" s="17">
        <v>45.92</v>
      </c>
      <c r="M26" s="17">
        <v>60.69</v>
      </c>
      <c r="N26" s="75">
        <v>69.19</v>
      </c>
      <c r="O26" s="16">
        <f t="shared" si="0"/>
        <v>80.489999999999995</v>
      </c>
      <c r="P26" s="17">
        <f t="shared" si="1"/>
        <v>35.68</v>
      </c>
      <c r="Q26" s="18">
        <f t="shared" si="2"/>
        <v>56.98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9.0766912650183258</v>
      </c>
      <c r="G27" s="25">
        <v>15.32535985730518</v>
      </c>
      <c r="H27" s="25">
        <v>11.299496492752095</v>
      </c>
      <c r="I27" s="25">
        <v>30.768851240055898</v>
      </c>
      <c r="J27" s="25">
        <v>3.1555804888683427</v>
      </c>
      <c r="K27" s="25">
        <v>39.534898151492726</v>
      </c>
      <c r="L27" s="25">
        <v>28.42637799962182</v>
      </c>
      <c r="M27" s="25">
        <v>0.71092974063085479</v>
      </c>
      <c r="N27" s="85">
        <v>18.56820771520735</v>
      </c>
      <c r="O27" s="24">
        <v>22.556287056778164</v>
      </c>
      <c r="P27" s="25">
        <f t="shared" si="1"/>
        <v>0.71092974063085479</v>
      </c>
      <c r="Q27" s="26">
        <f t="shared" si="2"/>
        <v>17.429599216772512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477</v>
      </c>
      <c r="E28" s="25">
        <v>170</v>
      </c>
      <c r="F28" s="25">
        <v>244</v>
      </c>
      <c r="G28" s="25">
        <v>222</v>
      </c>
      <c r="H28" s="90" t="s">
        <v>21</v>
      </c>
      <c r="I28" s="25">
        <v>270</v>
      </c>
      <c r="J28" s="25">
        <v>246</v>
      </c>
      <c r="K28" s="25">
        <v>276</v>
      </c>
      <c r="L28" s="25" t="s">
        <v>21</v>
      </c>
      <c r="M28" s="25">
        <v>349</v>
      </c>
      <c r="N28" s="76" t="s">
        <v>21</v>
      </c>
      <c r="O28" s="24">
        <f t="shared" ref="O28:O29" si="3">MAX(C28:N28)</f>
        <v>477</v>
      </c>
      <c r="P28" s="25">
        <f t="shared" si="1"/>
        <v>170</v>
      </c>
      <c r="Q28" s="26">
        <f t="shared" si="2"/>
        <v>281.75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41.300608892198703</v>
      </c>
      <c r="I29" s="61">
        <v>24.860628144922352</v>
      </c>
      <c r="J29" s="61">
        <v>29.936469369004545</v>
      </c>
      <c r="K29" s="61">
        <v>33.95233721118808</v>
      </c>
      <c r="L29" s="61">
        <v>12.913730735233496</v>
      </c>
      <c r="M29" s="61">
        <v>42.227932920941548</v>
      </c>
      <c r="N29" s="83">
        <v>81.417469387469239</v>
      </c>
      <c r="O29" s="60">
        <f t="shared" si="3"/>
        <v>81.417469387469239</v>
      </c>
      <c r="P29" s="61">
        <f t="shared" si="1"/>
        <v>12.913730735233496</v>
      </c>
      <c r="Q29" s="62">
        <f t="shared" si="2"/>
        <v>38.087025237279711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58</v>
      </c>
    </row>
    <row r="3" spans="1:18" ht="19.5" customHeight="1">
      <c r="O3" s="5" t="s">
        <v>59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16.1771811336839*0.53</f>
        <v>8.5739060008524675</v>
      </c>
      <c r="D5" s="17">
        <f>3.25132594081376*0.53</f>
        <v>1.7232027486312929</v>
      </c>
      <c r="E5" s="17">
        <f>9.0789993498478*0.53</f>
        <v>4.8118696554193345</v>
      </c>
      <c r="F5" s="17">
        <f>5.7364466097075*0.53</f>
        <v>3.0403167031449754</v>
      </c>
      <c r="G5" s="17">
        <f>7.03886460377145*0.53</f>
        <v>3.7305982399988689</v>
      </c>
      <c r="H5" s="17">
        <f>3.03067555830529*0.53</f>
        <v>1.6062580459018039</v>
      </c>
      <c r="I5" s="17">
        <f>3.19243142658244*0.53</f>
        <v>1.6919886560886934</v>
      </c>
      <c r="J5" s="17">
        <f>4.05826473773913*0.53</f>
        <v>2.1508803110017389</v>
      </c>
      <c r="K5" s="17">
        <f>14.7079757527155*0.53</f>
        <v>7.7952271489392153</v>
      </c>
      <c r="L5" s="17">
        <f>13.0034908809745*0.53</f>
        <v>6.8918501669164849</v>
      </c>
      <c r="M5" s="17">
        <f>24.1106812198822*0.53</f>
        <v>12.778661046537566</v>
      </c>
      <c r="N5" s="75">
        <f>14.0852567847168*0.53</f>
        <v>7.4651860958999041</v>
      </c>
      <c r="O5" s="16">
        <f t="shared" ref="O5:O26" si="0">MAX(C5:N5)</f>
        <v>12.778661046537566</v>
      </c>
      <c r="P5" s="17">
        <f t="shared" ref="P5:P29" si="1">MIN(C5:N5)</f>
        <v>1.6062580459018039</v>
      </c>
      <c r="Q5" s="18">
        <f t="shared" ref="Q5:Q29" si="2">AVERAGE(C5:N5)</f>
        <v>5.1883287349443616</v>
      </c>
    </row>
    <row r="6" spans="1:18" ht="19.5" customHeight="1">
      <c r="A6" s="27">
        <v>2</v>
      </c>
      <c r="B6" s="20" t="s">
        <v>20</v>
      </c>
      <c r="C6" s="21" t="s">
        <v>21</v>
      </c>
      <c r="D6" s="25">
        <v>8.43</v>
      </c>
      <c r="E6" s="25">
        <v>5.36</v>
      </c>
      <c r="F6" s="25">
        <v>4.05</v>
      </c>
      <c r="G6" s="25">
        <v>3.96</v>
      </c>
      <c r="H6" s="25">
        <v>4.41</v>
      </c>
      <c r="I6" s="25">
        <v>6.74</v>
      </c>
      <c r="J6" s="25">
        <v>12.4</v>
      </c>
      <c r="K6" s="25">
        <v>24.2</v>
      </c>
      <c r="L6" s="25">
        <v>19.899999999999999</v>
      </c>
      <c r="M6" s="25">
        <v>25</v>
      </c>
      <c r="N6" s="76">
        <v>8.2200000000000006</v>
      </c>
      <c r="O6" s="24">
        <f t="shared" si="0"/>
        <v>25</v>
      </c>
      <c r="P6" s="25">
        <f t="shared" si="1"/>
        <v>3.96</v>
      </c>
      <c r="Q6" s="26">
        <f t="shared" si="2"/>
        <v>11.151818181818181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2.98</v>
      </c>
      <c r="F7" s="25" t="s">
        <v>21</v>
      </c>
      <c r="G7" s="25">
        <v>4.01</v>
      </c>
      <c r="H7" s="25" t="s">
        <v>21</v>
      </c>
      <c r="I7" s="25">
        <v>8.74</v>
      </c>
      <c r="J7" s="25" t="s">
        <v>21</v>
      </c>
      <c r="K7" s="25" t="s">
        <v>21</v>
      </c>
      <c r="L7" s="25" t="s">
        <v>21</v>
      </c>
      <c r="M7" s="25">
        <v>40.4</v>
      </c>
      <c r="N7" s="76" t="s">
        <v>21</v>
      </c>
      <c r="O7" s="24">
        <f t="shared" si="0"/>
        <v>40.4</v>
      </c>
      <c r="P7" s="25">
        <f t="shared" si="1"/>
        <v>2.98</v>
      </c>
      <c r="Q7" s="26">
        <f t="shared" si="2"/>
        <v>14.032499999999999</v>
      </c>
    </row>
    <row r="8" spans="1:18" ht="19.5" customHeight="1">
      <c r="A8" s="19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7.1660260401797879</v>
      </c>
      <c r="G8" s="25">
        <v>8.5544856878576692</v>
      </c>
      <c r="H8" s="25">
        <v>8.6900905162075084</v>
      </c>
      <c r="I8" s="25">
        <v>13.77583095767222</v>
      </c>
      <c r="J8" s="25">
        <v>21.745280035733263</v>
      </c>
      <c r="K8" s="25">
        <v>19.345948847690764</v>
      </c>
      <c r="L8" s="25">
        <v>16.836275615704967</v>
      </c>
      <c r="M8" s="25">
        <v>20.753022836411382</v>
      </c>
      <c r="N8" s="76">
        <v>16.364671816123877</v>
      </c>
      <c r="O8" s="24">
        <f t="shared" si="0"/>
        <v>21.745280035733263</v>
      </c>
      <c r="P8" s="25">
        <f t="shared" si="1"/>
        <v>7.1660260401797879</v>
      </c>
      <c r="Q8" s="26">
        <f t="shared" si="2"/>
        <v>14.803514705953493</v>
      </c>
    </row>
    <row r="9" spans="1:18" ht="19.5" customHeight="1">
      <c r="A9" s="28">
        <v>5</v>
      </c>
      <c r="B9" s="29" t="s">
        <v>24</v>
      </c>
      <c r="C9" s="77">
        <v>34.630000000000003</v>
      </c>
      <c r="D9" s="35">
        <v>38.43</v>
      </c>
      <c r="E9" s="78">
        <v>23.53</v>
      </c>
      <c r="F9" s="35">
        <v>9.52</v>
      </c>
      <c r="G9" s="35">
        <v>13.27</v>
      </c>
      <c r="H9" s="35">
        <v>16.43</v>
      </c>
      <c r="I9" s="78">
        <v>30.39</v>
      </c>
      <c r="J9" s="35">
        <v>26.31</v>
      </c>
      <c r="K9" s="35">
        <v>27.54</v>
      </c>
      <c r="L9" s="35">
        <v>22.72</v>
      </c>
      <c r="M9" s="35">
        <v>22.83</v>
      </c>
      <c r="N9" s="79">
        <v>27.94</v>
      </c>
      <c r="O9" s="34">
        <f t="shared" si="0"/>
        <v>38.43</v>
      </c>
      <c r="P9" s="35">
        <f t="shared" si="1"/>
        <v>9.52</v>
      </c>
      <c r="Q9" s="36">
        <f t="shared" si="2"/>
        <v>24.461666666666662</v>
      </c>
    </row>
    <row r="10" spans="1:18" ht="19.5" customHeight="1">
      <c r="A10" s="37">
        <v>6</v>
      </c>
      <c r="B10" s="38" t="s">
        <v>25</v>
      </c>
      <c r="C10" s="63">
        <v>105.18561368209255</v>
      </c>
      <c r="D10" s="42">
        <v>137.6862464183381</v>
      </c>
      <c r="E10" s="42">
        <v>108.49774127310062</v>
      </c>
      <c r="F10" s="42">
        <v>34.524542682926821</v>
      </c>
      <c r="G10" s="42">
        <v>102.11510460251047</v>
      </c>
      <c r="H10" s="80">
        <v>65.023389021479716</v>
      </c>
      <c r="I10" s="42">
        <v>101.03547297297298</v>
      </c>
      <c r="J10" s="42">
        <v>107.15040650406505</v>
      </c>
      <c r="K10" s="42">
        <v>82.868932038834956</v>
      </c>
      <c r="L10" s="42">
        <v>81.641610087293898</v>
      </c>
      <c r="M10" s="42">
        <v>55.530468749999997</v>
      </c>
      <c r="N10" s="81">
        <v>6.1943597560975618</v>
      </c>
      <c r="O10" s="41">
        <f t="shared" si="0"/>
        <v>137.6862464183381</v>
      </c>
      <c r="P10" s="42">
        <f t="shared" si="1"/>
        <v>6.1943597560975618</v>
      </c>
      <c r="Q10" s="43">
        <f t="shared" si="2"/>
        <v>82.287823982476056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59.3</v>
      </c>
      <c r="F11" s="47">
        <v>31.1</v>
      </c>
      <c r="G11" s="47">
        <v>21</v>
      </c>
      <c r="H11" s="47">
        <v>20.6</v>
      </c>
      <c r="I11" s="47">
        <v>51.8</v>
      </c>
      <c r="J11" s="47">
        <v>179</v>
      </c>
      <c r="K11" s="47">
        <v>86.9</v>
      </c>
      <c r="L11" s="47">
        <v>161</v>
      </c>
      <c r="M11" s="47">
        <v>81.2</v>
      </c>
      <c r="N11" s="82">
        <v>52</v>
      </c>
      <c r="O11" s="46">
        <f t="shared" si="0"/>
        <v>179</v>
      </c>
      <c r="P11" s="47">
        <f t="shared" si="1"/>
        <v>20.6</v>
      </c>
      <c r="Q11" s="48">
        <f t="shared" si="2"/>
        <v>74.390000000000015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0.71009999999999995</v>
      </c>
      <c r="D12" s="17">
        <v>20.788799999999998</v>
      </c>
      <c r="E12" s="17">
        <v>1.4693000000000001</v>
      </c>
      <c r="F12" s="17">
        <v>3.5531999999999999</v>
      </c>
      <c r="G12" s="17">
        <v>9.7584999999999997</v>
      </c>
      <c r="H12" s="17">
        <v>8.1571999999999996</v>
      </c>
      <c r="I12" s="17">
        <v>8.0309000000000008</v>
      </c>
      <c r="J12" s="17">
        <v>6.157</v>
      </c>
      <c r="K12" s="17">
        <v>13.9811</v>
      </c>
      <c r="L12" s="17">
        <v>13.2486</v>
      </c>
      <c r="M12" s="17">
        <v>8.4695999999999998</v>
      </c>
      <c r="N12" s="75">
        <v>11.250999999999999</v>
      </c>
      <c r="O12" s="16">
        <f t="shared" si="0"/>
        <v>20.788799999999998</v>
      </c>
      <c r="P12" s="17">
        <f t="shared" si="1"/>
        <v>0.71009999999999995</v>
      </c>
      <c r="Q12" s="18">
        <f t="shared" si="2"/>
        <v>8.7979416666666665</v>
      </c>
    </row>
    <row r="13" spans="1:18" ht="19.5" customHeight="1">
      <c r="A13" s="19">
        <v>9</v>
      </c>
      <c r="B13" s="20" t="s">
        <v>29</v>
      </c>
      <c r="C13" s="21">
        <v>29.66</v>
      </c>
      <c r="D13" s="25">
        <v>33.08</v>
      </c>
      <c r="E13" s="25">
        <v>7.36</v>
      </c>
      <c r="F13" s="25">
        <v>12.92</v>
      </c>
      <c r="G13" s="25">
        <v>9.61</v>
      </c>
      <c r="H13" s="25">
        <v>9.41</v>
      </c>
      <c r="I13" s="25">
        <v>23.15</v>
      </c>
      <c r="J13" s="25">
        <v>23.17</v>
      </c>
      <c r="K13" s="25">
        <v>26.8</v>
      </c>
      <c r="L13" s="25">
        <v>28.4</v>
      </c>
      <c r="M13" s="25">
        <v>31.85</v>
      </c>
      <c r="N13" s="76">
        <v>37.58</v>
      </c>
      <c r="O13" s="24">
        <f t="shared" si="0"/>
        <v>37.58</v>
      </c>
      <c r="P13" s="25">
        <f t="shared" si="1"/>
        <v>7.36</v>
      </c>
      <c r="Q13" s="26">
        <f t="shared" si="2"/>
        <v>22.749166666666667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53.342127324124142</v>
      </c>
      <c r="D14" s="25">
        <v>52.560962792899808</v>
      </c>
      <c r="E14" s="25">
        <v>55.64389873314839</v>
      </c>
      <c r="F14" s="25">
        <v>41.513764126513315</v>
      </c>
      <c r="G14" s="25">
        <v>24.653291953438149</v>
      </c>
      <c r="H14" s="25">
        <v>46.413089849599203</v>
      </c>
      <c r="I14" s="25">
        <v>38.506390628340263</v>
      </c>
      <c r="J14" s="25">
        <v>58.423261809358323</v>
      </c>
      <c r="K14" s="25">
        <v>54.987391673696457</v>
      </c>
      <c r="L14" s="25">
        <v>24.22170313768175</v>
      </c>
      <c r="M14" s="25">
        <v>66.391080537790856</v>
      </c>
      <c r="N14" s="76">
        <v>75.755080573184713</v>
      </c>
      <c r="O14" s="24">
        <f t="shared" si="0"/>
        <v>75.755080573184713</v>
      </c>
      <c r="P14" s="25">
        <f t="shared" si="1"/>
        <v>24.22170313768175</v>
      </c>
      <c r="Q14" s="26">
        <f t="shared" si="2"/>
        <v>49.367670261647952</v>
      </c>
    </row>
    <row r="15" spans="1:18" ht="19.5" customHeight="1">
      <c r="A15" s="19">
        <v>11</v>
      </c>
      <c r="B15" s="20" t="s">
        <v>32</v>
      </c>
      <c r="C15" s="21">
        <v>57.143490810666037</v>
      </c>
      <c r="D15" s="25">
        <v>58.238437586632159</v>
      </c>
      <c r="E15" s="25">
        <v>36.271262971062619</v>
      </c>
      <c r="F15" s="25">
        <v>36.653107454520139</v>
      </c>
      <c r="G15" s="25">
        <v>22.114087962930366</v>
      </c>
      <c r="H15" s="25">
        <v>27.31630965791005</v>
      </c>
      <c r="I15" s="25">
        <v>41.825684911240948</v>
      </c>
      <c r="J15" s="25">
        <v>49.753313574906457</v>
      </c>
      <c r="K15" s="25">
        <v>51.992281095280966</v>
      </c>
      <c r="L15" s="25">
        <v>49.460865911872851</v>
      </c>
      <c r="M15" s="25">
        <v>52.745825369572479</v>
      </c>
      <c r="N15" s="76">
        <v>50.743976817162839</v>
      </c>
      <c r="O15" s="24">
        <f t="shared" si="0"/>
        <v>58.238437586632159</v>
      </c>
      <c r="P15" s="25">
        <f t="shared" si="1"/>
        <v>22.114087962930366</v>
      </c>
      <c r="Q15" s="26">
        <f t="shared" si="2"/>
        <v>44.521553676979828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13.3</v>
      </c>
      <c r="D16" s="25">
        <v>16.03</v>
      </c>
      <c r="E16" s="25">
        <v>14.9</v>
      </c>
      <c r="F16" s="25">
        <v>49.6</v>
      </c>
      <c r="G16" s="25">
        <v>14</v>
      </c>
      <c r="H16" s="25">
        <v>3.8</v>
      </c>
      <c r="I16" s="25">
        <v>8.5</v>
      </c>
      <c r="J16" s="25">
        <v>5.6</v>
      </c>
      <c r="K16" s="25">
        <v>7.1</v>
      </c>
      <c r="L16" s="25">
        <v>5.3</v>
      </c>
      <c r="M16" s="25">
        <v>1.4</v>
      </c>
      <c r="N16" s="76">
        <v>8.5</v>
      </c>
      <c r="O16" s="24">
        <f t="shared" si="0"/>
        <v>49.6</v>
      </c>
      <c r="P16" s="25">
        <f t="shared" si="1"/>
        <v>1.4</v>
      </c>
      <c r="Q16" s="26">
        <f t="shared" si="2"/>
        <v>12.335833333333335</v>
      </c>
    </row>
    <row r="17" spans="1:18" ht="19.5" customHeight="1">
      <c r="A17" s="19">
        <v>13</v>
      </c>
      <c r="B17" s="20" t="s">
        <v>35</v>
      </c>
      <c r="C17" s="21">
        <v>34.33</v>
      </c>
      <c r="D17" s="25">
        <v>49.22</v>
      </c>
      <c r="E17" s="25">
        <v>34.14</v>
      </c>
      <c r="F17" s="25">
        <v>23.83</v>
      </c>
      <c r="G17" s="25">
        <v>23.92</v>
      </c>
      <c r="H17" s="25">
        <v>23.79</v>
      </c>
      <c r="I17" s="25">
        <v>32.15</v>
      </c>
      <c r="J17" s="25">
        <v>46.55</v>
      </c>
      <c r="K17" s="25">
        <v>54.74</v>
      </c>
      <c r="L17" s="25">
        <v>38.619999999999997</v>
      </c>
      <c r="M17" s="25">
        <v>52.51</v>
      </c>
      <c r="N17" s="76">
        <v>66.94</v>
      </c>
      <c r="O17" s="24">
        <f t="shared" si="0"/>
        <v>66.94</v>
      </c>
      <c r="P17" s="25">
        <f t="shared" si="1"/>
        <v>23.79</v>
      </c>
      <c r="Q17" s="26">
        <f t="shared" si="2"/>
        <v>40.061666666666667</v>
      </c>
    </row>
    <row r="18" spans="1:18" ht="19.5" customHeight="1">
      <c r="A18" s="19">
        <v>14</v>
      </c>
      <c r="B18" s="20" t="s">
        <v>36</v>
      </c>
      <c r="C18" s="21" t="s">
        <v>21</v>
      </c>
      <c r="D18" s="25" t="s">
        <v>21</v>
      </c>
      <c r="E18" s="25">
        <v>0</v>
      </c>
      <c r="F18" s="25" t="s">
        <v>21</v>
      </c>
      <c r="G18" s="25" t="s">
        <v>21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76">
        <v>17.817189296803591</v>
      </c>
      <c r="O18" s="24">
        <f t="shared" si="0"/>
        <v>17.817189296803591</v>
      </c>
      <c r="P18" s="25">
        <f t="shared" si="1"/>
        <v>0</v>
      </c>
      <c r="Q18" s="26">
        <f t="shared" si="2"/>
        <v>2.2271486621004488</v>
      </c>
    </row>
    <row r="19" spans="1:18" ht="19.5" customHeight="1">
      <c r="A19" s="19">
        <v>15</v>
      </c>
      <c r="B19" s="20" t="s">
        <v>37</v>
      </c>
      <c r="C19" s="21">
        <v>47.21</v>
      </c>
      <c r="D19" s="25">
        <v>37.85</v>
      </c>
      <c r="E19" s="25">
        <v>21.06</v>
      </c>
      <c r="F19" s="25">
        <v>13.38</v>
      </c>
      <c r="G19" s="25">
        <v>12.88</v>
      </c>
      <c r="H19" s="25">
        <v>18.239999999999998</v>
      </c>
      <c r="I19" s="25">
        <v>31.19</v>
      </c>
      <c r="J19" s="25">
        <v>53.55</v>
      </c>
      <c r="K19" s="25">
        <v>73.45</v>
      </c>
      <c r="L19" s="25">
        <v>58.52</v>
      </c>
      <c r="M19" s="25">
        <v>62.84</v>
      </c>
      <c r="N19" s="76">
        <v>63.94</v>
      </c>
      <c r="O19" s="24">
        <f t="shared" si="0"/>
        <v>73.45</v>
      </c>
      <c r="P19" s="25">
        <f t="shared" si="1"/>
        <v>12.88</v>
      </c>
      <c r="Q19" s="26">
        <f t="shared" si="2"/>
        <v>41.17583333333333</v>
      </c>
    </row>
    <row r="20" spans="1:18" ht="19.5" customHeight="1">
      <c r="A20" s="91">
        <v>16</v>
      </c>
      <c r="B20" s="56" t="s">
        <v>38</v>
      </c>
      <c r="C20" s="66">
        <v>45.6</v>
      </c>
      <c r="D20" s="61">
        <v>47.9</v>
      </c>
      <c r="E20" s="61">
        <v>46.5</v>
      </c>
      <c r="F20" s="61">
        <v>34.200000000000003</v>
      </c>
      <c r="G20" s="61">
        <v>30.5</v>
      </c>
      <c r="H20" s="61">
        <v>26.5</v>
      </c>
      <c r="I20" s="61">
        <v>33.5</v>
      </c>
      <c r="J20" s="61">
        <v>34.6</v>
      </c>
      <c r="K20" s="61">
        <v>48.7</v>
      </c>
      <c r="L20" s="61">
        <v>38.799999999999997</v>
      </c>
      <c r="M20" s="61">
        <v>44.7</v>
      </c>
      <c r="N20" s="83">
        <v>52.6</v>
      </c>
      <c r="O20" s="60">
        <f t="shared" si="0"/>
        <v>52.6</v>
      </c>
      <c r="P20" s="61">
        <f t="shared" si="1"/>
        <v>26.5</v>
      </c>
      <c r="Q20" s="62">
        <f t="shared" si="2"/>
        <v>40.341666666666669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3.3729438996867684</v>
      </c>
      <c r="I21" s="42">
        <v>8.1826983663444111</v>
      </c>
      <c r="J21" s="42">
        <v>11.405445434583262</v>
      </c>
      <c r="K21" s="42">
        <v>10.05001839128707</v>
      </c>
      <c r="L21" s="42">
        <v>8.3603338894359851</v>
      </c>
      <c r="M21" s="42">
        <v>8.2817016215503418</v>
      </c>
      <c r="N21" s="81">
        <v>25.704503080942562</v>
      </c>
      <c r="O21" s="41">
        <f t="shared" si="0"/>
        <v>25.704503080942562</v>
      </c>
      <c r="P21" s="42">
        <f t="shared" si="1"/>
        <v>3.3729438996867684</v>
      </c>
      <c r="Q21" s="43">
        <f t="shared" si="2"/>
        <v>10.765377811975771</v>
      </c>
      <c r="R21" s="64"/>
    </row>
    <row r="22" spans="1:18" ht="19.5" customHeight="1">
      <c r="A22" s="19">
        <v>18</v>
      </c>
      <c r="B22" s="20" t="s">
        <v>40</v>
      </c>
      <c r="C22" s="21">
        <v>39.219681906001824</v>
      </c>
      <c r="D22" s="25">
        <v>44.703915581444249</v>
      </c>
      <c r="E22" s="25">
        <v>17.747286126291915</v>
      </c>
      <c r="F22" s="25">
        <v>17.589482037570427</v>
      </c>
      <c r="G22" s="25">
        <v>22.354794298753852</v>
      </c>
      <c r="H22" s="25">
        <v>22.619472582584333</v>
      </c>
      <c r="I22" s="25">
        <v>28.678224633434407</v>
      </c>
      <c r="J22" s="25">
        <v>26.074198830439745</v>
      </c>
      <c r="K22" s="25">
        <v>32.343103689601158</v>
      </c>
      <c r="L22" s="25">
        <v>45.359406385557399</v>
      </c>
      <c r="M22" s="25">
        <v>34.599794356912824</v>
      </c>
      <c r="N22" s="76">
        <v>59.282122248996949</v>
      </c>
      <c r="O22" s="24">
        <f t="shared" si="0"/>
        <v>59.282122248996949</v>
      </c>
      <c r="P22" s="25">
        <f t="shared" si="1"/>
        <v>17.589482037570427</v>
      </c>
      <c r="Q22" s="26">
        <f t="shared" si="2"/>
        <v>32.547623556465751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4.6280000000000001</v>
      </c>
      <c r="E23" s="25">
        <v>3.29</v>
      </c>
      <c r="F23" s="25">
        <v>2.7719999999999998</v>
      </c>
      <c r="G23" s="25">
        <v>3.74</v>
      </c>
      <c r="H23" s="25">
        <v>3.51</v>
      </c>
      <c r="I23" s="25">
        <v>4.4409000000000001</v>
      </c>
      <c r="J23" s="25">
        <v>13.827</v>
      </c>
      <c r="K23" s="25">
        <v>2.835</v>
      </c>
      <c r="L23" s="25">
        <v>7.27</v>
      </c>
      <c r="M23" s="25">
        <v>2.33</v>
      </c>
      <c r="N23" s="76">
        <v>3.29</v>
      </c>
      <c r="O23" s="24">
        <f t="shared" si="0"/>
        <v>13.827</v>
      </c>
      <c r="P23" s="25">
        <f t="shared" si="1"/>
        <v>2.33</v>
      </c>
      <c r="Q23" s="26">
        <f t="shared" si="2"/>
        <v>4.7211727272727266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16.899999999999999</v>
      </c>
      <c r="J24" s="25">
        <v>12.3</v>
      </c>
      <c r="K24" s="25">
        <v>11.7</v>
      </c>
      <c r="L24" s="25">
        <v>119</v>
      </c>
      <c r="M24" s="25">
        <v>53.2</v>
      </c>
      <c r="N24" s="85">
        <v>112</v>
      </c>
      <c r="O24" s="24">
        <f t="shared" si="0"/>
        <v>119</v>
      </c>
      <c r="P24" s="25">
        <f t="shared" si="1"/>
        <v>11.7</v>
      </c>
      <c r="Q24" s="26">
        <f t="shared" si="2"/>
        <v>54.183333333333337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>
        <v>9.3000000000000007</v>
      </c>
      <c r="K25" s="47">
        <v>4.5</v>
      </c>
      <c r="L25" s="47">
        <v>10.1</v>
      </c>
      <c r="M25" s="47">
        <v>10</v>
      </c>
      <c r="N25" s="87">
        <v>18</v>
      </c>
      <c r="O25" s="46">
        <f t="shared" si="0"/>
        <v>18</v>
      </c>
      <c r="P25" s="47">
        <f t="shared" si="1"/>
        <v>4.5</v>
      </c>
      <c r="Q25" s="48">
        <f t="shared" si="2"/>
        <v>10.379999999999999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47.75</v>
      </c>
      <c r="D26" s="17">
        <v>38.840000000000003</v>
      </c>
      <c r="E26" s="17">
        <v>25.2</v>
      </c>
      <c r="F26" s="17">
        <v>21.94</v>
      </c>
      <c r="G26" s="17">
        <v>7.89</v>
      </c>
      <c r="H26" s="17">
        <v>10.71</v>
      </c>
      <c r="I26" s="17">
        <v>33.090000000000003</v>
      </c>
      <c r="J26" s="17">
        <v>55.96</v>
      </c>
      <c r="K26" s="17">
        <v>59.14</v>
      </c>
      <c r="L26" s="17">
        <v>53.98</v>
      </c>
      <c r="M26" s="17">
        <v>69.489999999999995</v>
      </c>
      <c r="N26" s="75">
        <v>67.8</v>
      </c>
      <c r="O26" s="16">
        <f t="shared" si="0"/>
        <v>69.489999999999995</v>
      </c>
      <c r="P26" s="17">
        <f t="shared" si="1"/>
        <v>7.89</v>
      </c>
      <c r="Q26" s="18">
        <f t="shared" si="2"/>
        <v>40.982500000000009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5.3775093995818883</v>
      </c>
      <c r="G27" s="25">
        <v>4.6080554598623022</v>
      </c>
      <c r="H27" s="25">
        <v>4.7732598357106166</v>
      </c>
      <c r="I27" s="25">
        <v>8.0902073999584854</v>
      </c>
      <c r="J27" s="25">
        <v>1.6538231932217577</v>
      </c>
      <c r="K27" s="25">
        <v>22.950572995847097</v>
      </c>
      <c r="L27" s="25">
        <v>22.729470359000885</v>
      </c>
      <c r="M27" s="25">
        <v>1.0834436380865655</v>
      </c>
      <c r="N27" s="85">
        <v>13.465828372113814</v>
      </c>
      <c r="O27" s="24">
        <v>18.181081182207894</v>
      </c>
      <c r="P27" s="25">
        <f t="shared" si="1"/>
        <v>1.0834436380865655</v>
      </c>
      <c r="Q27" s="26">
        <f t="shared" si="2"/>
        <v>9.4146856281537126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30.5</v>
      </c>
      <c r="E28" s="25">
        <v>11.3</v>
      </c>
      <c r="F28" s="25">
        <v>9.4</v>
      </c>
      <c r="G28" s="25">
        <v>15.5</v>
      </c>
      <c r="H28" s="90" t="s">
        <v>21</v>
      </c>
      <c r="I28" s="25">
        <v>58</v>
      </c>
      <c r="J28" s="25">
        <v>42.3</v>
      </c>
      <c r="K28" s="25">
        <v>83.7</v>
      </c>
      <c r="L28" s="25" t="s">
        <v>21</v>
      </c>
      <c r="M28" s="25">
        <v>73.099999999999994</v>
      </c>
      <c r="N28" s="76" t="s">
        <v>21</v>
      </c>
      <c r="O28" s="24">
        <f t="shared" ref="O28:O29" si="3">MAX(C28:N28)</f>
        <v>83.7</v>
      </c>
      <c r="P28" s="25">
        <f t="shared" si="1"/>
        <v>9.4</v>
      </c>
      <c r="Q28" s="26">
        <f t="shared" si="2"/>
        <v>40.474999999999994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12.810463611136697</v>
      </c>
      <c r="I29" s="61">
        <v>10.62561831166251</v>
      </c>
      <c r="J29" s="61">
        <v>9.7056267336652695</v>
      </c>
      <c r="K29" s="61">
        <v>17.224509940826032</v>
      </c>
      <c r="L29" s="61">
        <v>6.0582689332188684</v>
      </c>
      <c r="M29" s="61">
        <v>20.230288373202221</v>
      </c>
      <c r="N29" s="83">
        <v>45.747656525092658</v>
      </c>
      <c r="O29" s="60">
        <f t="shared" si="3"/>
        <v>45.747656525092658</v>
      </c>
      <c r="P29" s="61">
        <f t="shared" si="1"/>
        <v>6.0582689332188684</v>
      </c>
      <c r="Q29" s="62">
        <f t="shared" si="2"/>
        <v>17.486061775543465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60</v>
      </c>
    </row>
    <row r="3" spans="1:18" ht="19.5" customHeight="1">
      <c r="O3" s="5" t="s">
        <v>61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14.4649302701566*0.53</f>
        <v>7.666413043182998</v>
      </c>
      <c r="D5" s="17">
        <f>3.77325082894112*0.53</f>
        <v>1.9998229393387938</v>
      </c>
      <c r="E5" s="17">
        <f>13.4345432419147*0.53</f>
        <v>7.1203079182147908</v>
      </c>
      <c r="F5" s="17">
        <f>6.82824264833625*0.53</f>
        <v>3.6189686036182125</v>
      </c>
      <c r="G5" s="17">
        <f>33.7591202202698*0.53</f>
        <v>17.892333716742996</v>
      </c>
      <c r="H5" s="17">
        <f>15.9455112282401*0.53</f>
        <v>8.4511209509672529</v>
      </c>
      <c r="I5" s="17">
        <f>13.5570131613135*0.53</f>
        <v>7.1852169754961555</v>
      </c>
      <c r="J5" s="17">
        <f>10.7220216486497*0.53</f>
        <v>5.6826714737843416</v>
      </c>
      <c r="K5" s="17">
        <f>24.9921594548298*0.53</f>
        <v>13.245844511059795</v>
      </c>
      <c r="L5" s="17">
        <f>34.4649751704923*0.53</f>
        <v>18.266436840360921</v>
      </c>
      <c r="M5" s="17">
        <f>40.7160882111337*0.53</f>
        <v>21.579526751900865</v>
      </c>
      <c r="N5" s="75">
        <f>48.1843170242688*0.53</f>
        <v>25.537688022862465</v>
      </c>
      <c r="O5" s="16">
        <f t="shared" ref="O5:O26" si="0">MAX(C5:N5)</f>
        <v>25.537688022862465</v>
      </c>
      <c r="P5" s="17">
        <f t="shared" ref="P5:P29" si="1">MIN(C5:N5)</f>
        <v>1.9998229393387938</v>
      </c>
      <c r="Q5" s="18">
        <f t="shared" ref="Q5:Q29" si="2">AVERAGE(C5:N5)</f>
        <v>11.520529312294132</v>
      </c>
    </row>
    <row r="6" spans="1:18" ht="19.5" customHeight="1">
      <c r="A6" s="27">
        <v>2</v>
      </c>
      <c r="B6" s="20" t="s">
        <v>20</v>
      </c>
      <c r="C6" s="21" t="s">
        <v>21</v>
      </c>
      <c r="D6" s="25">
        <v>3.1</v>
      </c>
      <c r="E6" s="25">
        <v>2.4500000000000002</v>
      </c>
      <c r="F6" s="25">
        <v>0.77</v>
      </c>
      <c r="G6" s="25">
        <v>1.65</v>
      </c>
      <c r="H6" s="25">
        <v>10.8</v>
      </c>
      <c r="I6" s="25">
        <v>7.48</v>
      </c>
      <c r="J6" s="25">
        <v>10</v>
      </c>
      <c r="K6" s="25">
        <v>17.100000000000001</v>
      </c>
      <c r="L6" s="25">
        <v>11.3</v>
      </c>
      <c r="M6" s="25">
        <v>11.7</v>
      </c>
      <c r="N6" s="76">
        <v>8.01</v>
      </c>
      <c r="O6" s="24">
        <f t="shared" si="0"/>
        <v>17.100000000000001</v>
      </c>
      <c r="P6" s="25">
        <f t="shared" si="1"/>
        <v>0.77</v>
      </c>
      <c r="Q6" s="26">
        <f t="shared" si="2"/>
        <v>7.6690909090909107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1.79</v>
      </c>
      <c r="F7" s="25" t="s">
        <v>21</v>
      </c>
      <c r="G7" s="25">
        <v>1.65</v>
      </c>
      <c r="H7" s="25" t="s">
        <v>21</v>
      </c>
      <c r="I7" s="25">
        <v>30.2</v>
      </c>
      <c r="J7" s="25" t="s">
        <v>21</v>
      </c>
      <c r="K7" s="25" t="s">
        <v>21</v>
      </c>
      <c r="L7" s="25" t="s">
        <v>21</v>
      </c>
      <c r="M7" s="25">
        <v>127</v>
      </c>
      <c r="N7" s="76" t="s">
        <v>21</v>
      </c>
      <c r="O7" s="24">
        <f t="shared" si="0"/>
        <v>127</v>
      </c>
      <c r="P7" s="25">
        <f t="shared" si="1"/>
        <v>1.65</v>
      </c>
      <c r="Q7" s="26">
        <f t="shared" si="2"/>
        <v>40.159999999999997</v>
      </c>
    </row>
    <row r="8" spans="1:18" ht="19.5" customHeight="1">
      <c r="A8" s="19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5.2621353990295576</v>
      </c>
      <c r="G8" s="25">
        <v>3.6523352055532672</v>
      </c>
      <c r="H8" s="25">
        <v>4.8440421090328893</v>
      </c>
      <c r="I8" s="25">
        <v>11.961574019135378</v>
      </c>
      <c r="J8" s="25">
        <v>24.311231794709332</v>
      </c>
      <c r="K8" s="25">
        <v>33.387091221960418</v>
      </c>
      <c r="L8" s="25">
        <v>18.772202223024063</v>
      </c>
      <c r="M8" s="25">
        <v>18.300601363533438</v>
      </c>
      <c r="N8" s="76">
        <v>23.120662779200288</v>
      </c>
      <c r="O8" s="24">
        <f t="shared" si="0"/>
        <v>33.387091221960418</v>
      </c>
      <c r="P8" s="25">
        <f t="shared" si="1"/>
        <v>3.6523352055532672</v>
      </c>
      <c r="Q8" s="26">
        <f t="shared" si="2"/>
        <v>15.956875123908738</v>
      </c>
    </row>
    <row r="9" spans="1:18" ht="19.5" customHeight="1">
      <c r="A9" s="28">
        <v>5</v>
      </c>
      <c r="B9" s="29" t="s">
        <v>24</v>
      </c>
      <c r="C9" s="77">
        <v>25.74</v>
      </c>
      <c r="D9" s="35">
        <v>39.659999999999997</v>
      </c>
      <c r="E9" s="78">
        <v>14.1</v>
      </c>
      <c r="F9" s="35">
        <v>1.34</v>
      </c>
      <c r="G9" s="35">
        <v>10.16</v>
      </c>
      <c r="H9" s="35">
        <v>52.96</v>
      </c>
      <c r="I9" s="78">
        <v>65.66</v>
      </c>
      <c r="J9" s="35">
        <v>75</v>
      </c>
      <c r="K9" s="35">
        <v>103.11</v>
      </c>
      <c r="L9" s="35">
        <v>95.13</v>
      </c>
      <c r="M9" s="35">
        <v>119.61</v>
      </c>
      <c r="N9" s="79">
        <v>130.65</v>
      </c>
      <c r="O9" s="34">
        <f t="shared" si="0"/>
        <v>130.65</v>
      </c>
      <c r="P9" s="35">
        <f t="shared" si="1"/>
        <v>1.34</v>
      </c>
      <c r="Q9" s="36">
        <f t="shared" si="2"/>
        <v>61.093333333333334</v>
      </c>
    </row>
    <row r="10" spans="1:18" ht="19.5" customHeight="1">
      <c r="A10" s="37">
        <v>6</v>
      </c>
      <c r="B10" s="38" t="s">
        <v>25</v>
      </c>
      <c r="C10" s="63">
        <v>85.239295774647886</v>
      </c>
      <c r="D10" s="42">
        <v>59.821418338108884</v>
      </c>
      <c r="E10" s="42">
        <v>58.976581108829571</v>
      </c>
      <c r="F10" s="42">
        <v>51.42510162601625</v>
      </c>
      <c r="G10" s="42">
        <v>47.786686192468622</v>
      </c>
      <c r="H10" s="80">
        <v>36.499737470167062</v>
      </c>
      <c r="I10" s="42">
        <v>99.754729729729746</v>
      </c>
      <c r="J10" s="42">
        <v>109.03495934959351</v>
      </c>
      <c r="K10" s="42">
        <v>106.01337648327937</v>
      </c>
      <c r="L10" s="42">
        <v>106.6878758486906</v>
      </c>
      <c r="M10" s="42">
        <v>43.495156250000001</v>
      </c>
      <c r="N10" s="81">
        <v>59.098780487804888</v>
      </c>
      <c r="O10" s="41">
        <f t="shared" si="0"/>
        <v>109.03495934959351</v>
      </c>
      <c r="P10" s="42">
        <f t="shared" si="1"/>
        <v>36.499737470167062</v>
      </c>
      <c r="Q10" s="43">
        <f t="shared" si="2"/>
        <v>71.986141554944695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28.4</v>
      </c>
      <c r="F11" s="47">
        <v>31.2</v>
      </c>
      <c r="G11" s="47">
        <v>36.700000000000003</v>
      </c>
      <c r="H11" s="47">
        <v>8.3800000000000008</v>
      </c>
      <c r="I11" s="47">
        <v>20.9</v>
      </c>
      <c r="J11" s="47">
        <v>116</v>
      </c>
      <c r="K11" s="47">
        <v>107</v>
      </c>
      <c r="L11" s="47">
        <v>169</v>
      </c>
      <c r="M11" s="47">
        <v>53.3</v>
      </c>
      <c r="N11" s="82">
        <v>27.3</v>
      </c>
      <c r="O11" s="46">
        <f t="shared" si="0"/>
        <v>169</v>
      </c>
      <c r="P11" s="47">
        <f t="shared" si="1"/>
        <v>8.3800000000000008</v>
      </c>
      <c r="Q11" s="48">
        <f t="shared" si="2"/>
        <v>59.817999999999984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0.18079999999999999</v>
      </c>
      <c r="D12" s="17">
        <v>4.4150999999999998</v>
      </c>
      <c r="E12" s="17">
        <v>1.4836</v>
      </c>
      <c r="F12" s="17">
        <v>6.0076000000000001</v>
      </c>
      <c r="G12" s="17">
        <v>2.7158000000000002</v>
      </c>
      <c r="H12" s="17">
        <v>2.9298000000000002</v>
      </c>
      <c r="I12" s="17">
        <v>10.1166</v>
      </c>
      <c r="J12" s="17">
        <v>11.633900000000001</v>
      </c>
      <c r="K12" s="17">
        <v>17.209199999999999</v>
      </c>
      <c r="L12" s="17">
        <v>14.4048</v>
      </c>
      <c r="M12" s="17">
        <v>7.5092999999999996</v>
      </c>
      <c r="N12" s="75">
        <v>11.3188</v>
      </c>
      <c r="O12" s="16">
        <f t="shared" si="0"/>
        <v>17.209199999999999</v>
      </c>
      <c r="P12" s="17">
        <f t="shared" si="1"/>
        <v>0.18079999999999999</v>
      </c>
      <c r="Q12" s="18">
        <f t="shared" si="2"/>
        <v>7.4937749999999985</v>
      </c>
    </row>
    <row r="13" spans="1:18" ht="19.5" customHeight="1">
      <c r="A13" s="19">
        <v>9</v>
      </c>
      <c r="B13" s="20" t="s">
        <v>29</v>
      </c>
      <c r="C13" s="21">
        <v>8.2100000000000009</v>
      </c>
      <c r="D13" s="25">
        <v>5.46</v>
      </c>
      <c r="E13" s="25">
        <v>2.08</v>
      </c>
      <c r="F13" s="25">
        <v>3.65</v>
      </c>
      <c r="G13" s="25">
        <v>7.0000000000000007E-2</v>
      </c>
      <c r="H13" s="25">
        <v>4.17</v>
      </c>
      <c r="I13" s="25">
        <v>16.850000000000001</v>
      </c>
      <c r="J13" s="25">
        <v>24.34</v>
      </c>
      <c r="K13" s="25">
        <v>31.13</v>
      </c>
      <c r="L13" s="25">
        <v>37.840000000000003</v>
      </c>
      <c r="M13" s="25">
        <v>56.55</v>
      </c>
      <c r="N13" s="76">
        <v>40</v>
      </c>
      <c r="O13" s="24">
        <f t="shared" si="0"/>
        <v>56.55</v>
      </c>
      <c r="P13" s="25">
        <f t="shared" si="1"/>
        <v>7.0000000000000007E-2</v>
      </c>
      <c r="Q13" s="26">
        <f t="shared" si="2"/>
        <v>19.195833333333336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2.5509216762585321</v>
      </c>
      <c r="D14" s="25">
        <v>7.6418421081875616</v>
      </c>
      <c r="E14" s="25">
        <v>19.761714988456131</v>
      </c>
      <c r="F14" s="25">
        <v>56.852458005835345</v>
      </c>
      <c r="G14" s="25">
        <v>24.204724573852943</v>
      </c>
      <c r="H14" s="25">
        <v>17.673819762123379</v>
      </c>
      <c r="I14" s="25">
        <v>13.556389983804799</v>
      </c>
      <c r="J14" s="25">
        <v>30.278217299904743</v>
      </c>
      <c r="K14" s="25">
        <v>45.920933803237503</v>
      </c>
      <c r="L14" s="25">
        <v>18.251269912460813</v>
      </c>
      <c r="M14" s="25">
        <v>47.669218537193771</v>
      </c>
      <c r="N14" s="76">
        <v>55.44086902283351</v>
      </c>
      <c r="O14" s="24">
        <f t="shared" si="0"/>
        <v>56.852458005835345</v>
      </c>
      <c r="P14" s="25">
        <f t="shared" si="1"/>
        <v>2.5509216762585321</v>
      </c>
      <c r="Q14" s="26">
        <f t="shared" si="2"/>
        <v>28.316864972845753</v>
      </c>
    </row>
    <row r="15" spans="1:18" ht="19.5" customHeight="1">
      <c r="A15" s="19">
        <v>11</v>
      </c>
      <c r="B15" s="20" t="s">
        <v>32</v>
      </c>
      <c r="C15" s="21">
        <v>10.139785912928486</v>
      </c>
      <c r="D15" s="25">
        <v>0.66139996050997585</v>
      </c>
      <c r="E15" s="25">
        <v>1.5469977337460299</v>
      </c>
      <c r="F15" s="25">
        <v>11.303393282221979</v>
      </c>
      <c r="G15" s="25">
        <v>6.9948206219614377</v>
      </c>
      <c r="H15" s="25">
        <v>1.7979850689759627</v>
      </c>
      <c r="I15" s="25">
        <v>5.5518639200595317</v>
      </c>
      <c r="J15" s="25">
        <v>12.949406059324639</v>
      </c>
      <c r="K15" s="25">
        <v>27.150646805461903</v>
      </c>
      <c r="L15" s="25">
        <v>26.802184901607706</v>
      </c>
      <c r="M15" s="25">
        <v>17.146955892539044</v>
      </c>
      <c r="N15" s="76">
        <v>15.867289268048708</v>
      </c>
      <c r="O15" s="24">
        <f t="shared" si="0"/>
        <v>27.150646805461903</v>
      </c>
      <c r="P15" s="25">
        <f t="shared" si="1"/>
        <v>0.66139996050997585</v>
      </c>
      <c r="Q15" s="26">
        <f t="shared" si="2"/>
        <v>11.492727452282116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3.2</v>
      </c>
      <c r="D16" s="25">
        <v>0.8</v>
      </c>
      <c r="E16" s="25">
        <v>7.3</v>
      </c>
      <c r="F16" s="25" t="s">
        <v>21</v>
      </c>
      <c r="G16" s="25">
        <v>12.8</v>
      </c>
      <c r="H16" s="25">
        <v>22.7</v>
      </c>
      <c r="I16" s="25">
        <v>17.3</v>
      </c>
      <c r="J16" s="25">
        <v>15.9</v>
      </c>
      <c r="K16" s="25">
        <v>12.7</v>
      </c>
      <c r="L16" s="25">
        <v>3.5</v>
      </c>
      <c r="M16" s="25">
        <v>0.9</v>
      </c>
      <c r="N16" s="76">
        <v>6.8</v>
      </c>
      <c r="O16" s="24">
        <f t="shared" si="0"/>
        <v>22.7</v>
      </c>
      <c r="P16" s="25">
        <f t="shared" si="1"/>
        <v>0.8</v>
      </c>
      <c r="Q16" s="26">
        <f t="shared" si="2"/>
        <v>9.4454545454545453</v>
      </c>
    </row>
    <row r="17" spans="1:18" ht="19.5" customHeight="1">
      <c r="A17" s="19">
        <v>13</v>
      </c>
      <c r="B17" s="20" t="s">
        <v>35</v>
      </c>
      <c r="C17" s="21">
        <v>9.85</v>
      </c>
      <c r="D17" s="25">
        <v>3.88</v>
      </c>
      <c r="E17" s="25">
        <v>7.6</v>
      </c>
      <c r="F17" s="25">
        <v>20.7</v>
      </c>
      <c r="G17" s="25">
        <v>12.86</v>
      </c>
      <c r="H17" s="25">
        <v>15.97</v>
      </c>
      <c r="I17" s="25">
        <v>18.55</v>
      </c>
      <c r="J17" s="25">
        <v>18.43</v>
      </c>
      <c r="K17" s="25">
        <v>25.48</v>
      </c>
      <c r="L17" s="25">
        <v>24.67</v>
      </c>
      <c r="M17" s="25">
        <v>20.190000000000001</v>
      </c>
      <c r="N17" s="76">
        <v>31.79</v>
      </c>
      <c r="O17" s="24">
        <f t="shared" si="0"/>
        <v>31.79</v>
      </c>
      <c r="P17" s="25">
        <f t="shared" si="1"/>
        <v>3.88</v>
      </c>
      <c r="Q17" s="26">
        <f t="shared" si="2"/>
        <v>17.497499999999999</v>
      </c>
    </row>
    <row r="18" spans="1:18" ht="19.5" customHeight="1">
      <c r="A18" s="19">
        <v>14</v>
      </c>
      <c r="B18" s="20" t="s">
        <v>36</v>
      </c>
      <c r="C18" s="21" t="s">
        <v>21</v>
      </c>
      <c r="D18" s="25" t="s">
        <v>21</v>
      </c>
      <c r="E18" s="25">
        <v>3.5528268183186515</v>
      </c>
      <c r="F18" s="25" t="s">
        <v>21</v>
      </c>
      <c r="G18" s="25" t="s">
        <v>21</v>
      </c>
      <c r="H18" s="25">
        <v>0</v>
      </c>
      <c r="I18" s="25">
        <v>0.64531400161599628</v>
      </c>
      <c r="J18" s="25">
        <v>1.0037368823906434</v>
      </c>
      <c r="K18" s="25">
        <v>6.2933057311329081</v>
      </c>
      <c r="L18" s="25">
        <v>0.43849713135793417</v>
      </c>
      <c r="M18" s="25">
        <v>0.35181595076666133</v>
      </c>
      <c r="N18" s="76">
        <v>1.2347073654820215</v>
      </c>
      <c r="O18" s="24">
        <f t="shared" si="0"/>
        <v>6.2933057311329081</v>
      </c>
      <c r="P18" s="25">
        <f t="shared" si="1"/>
        <v>0</v>
      </c>
      <c r="Q18" s="26">
        <f t="shared" si="2"/>
        <v>1.690025485133102</v>
      </c>
    </row>
    <row r="19" spans="1:18" ht="19.5" customHeight="1">
      <c r="A19" s="19">
        <v>15</v>
      </c>
      <c r="B19" s="20" t="s">
        <v>37</v>
      </c>
      <c r="C19" s="21">
        <v>30.43</v>
      </c>
      <c r="D19" s="25">
        <v>9.2100000000000009</v>
      </c>
      <c r="E19" s="25">
        <v>0.93</v>
      </c>
      <c r="F19" s="25">
        <v>5.46</v>
      </c>
      <c r="G19" s="25">
        <v>4.54</v>
      </c>
      <c r="H19" s="25">
        <v>8.48</v>
      </c>
      <c r="I19" s="25">
        <v>15.27</v>
      </c>
      <c r="J19" s="25">
        <v>39.549999999999997</v>
      </c>
      <c r="K19" s="25">
        <v>79.25</v>
      </c>
      <c r="L19" s="25">
        <v>56.92</v>
      </c>
      <c r="M19" s="25">
        <v>45.03</v>
      </c>
      <c r="N19" s="76">
        <v>47.81</v>
      </c>
      <c r="O19" s="24">
        <f t="shared" si="0"/>
        <v>79.25</v>
      </c>
      <c r="P19" s="25">
        <f t="shared" si="1"/>
        <v>0.93</v>
      </c>
      <c r="Q19" s="26">
        <f t="shared" si="2"/>
        <v>28.573333333333338</v>
      </c>
    </row>
    <row r="20" spans="1:18" ht="19.5" customHeight="1">
      <c r="A20" s="91">
        <v>16</v>
      </c>
      <c r="B20" s="56" t="s">
        <v>38</v>
      </c>
      <c r="C20" s="66">
        <v>19.8</v>
      </c>
      <c r="D20" s="61">
        <v>10.3</v>
      </c>
      <c r="E20" s="61">
        <v>22.7</v>
      </c>
      <c r="F20" s="61">
        <v>48.1</v>
      </c>
      <c r="G20" s="61">
        <v>17.600000000000001</v>
      </c>
      <c r="H20" s="61">
        <v>59.9</v>
      </c>
      <c r="I20" s="61">
        <v>13.9</v>
      </c>
      <c r="J20" s="61">
        <v>11.2</v>
      </c>
      <c r="K20" s="61">
        <v>24.3</v>
      </c>
      <c r="L20" s="61">
        <v>26</v>
      </c>
      <c r="M20" s="61">
        <v>19.5</v>
      </c>
      <c r="N20" s="83">
        <v>29.9</v>
      </c>
      <c r="O20" s="60">
        <f t="shared" si="0"/>
        <v>59.9</v>
      </c>
      <c r="P20" s="61">
        <f t="shared" si="1"/>
        <v>10.3</v>
      </c>
      <c r="Q20" s="62">
        <f t="shared" si="2"/>
        <v>25.266666666666666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3.5137503665048042</v>
      </c>
      <c r="I21" s="42">
        <v>3.0796053693294696</v>
      </c>
      <c r="J21" s="42">
        <v>10.904645212239954</v>
      </c>
      <c r="K21" s="42">
        <v>15.844012541047892</v>
      </c>
      <c r="L21" s="42">
        <v>12.660323831490949</v>
      </c>
      <c r="M21" s="42">
        <v>11.68085384629395</v>
      </c>
      <c r="N21" s="81">
        <v>32.736283870384128</v>
      </c>
      <c r="O21" s="41">
        <f t="shared" si="0"/>
        <v>32.736283870384128</v>
      </c>
      <c r="P21" s="42">
        <f t="shared" si="1"/>
        <v>3.0796053693294696</v>
      </c>
      <c r="Q21" s="43">
        <f t="shared" si="2"/>
        <v>12.917067862470164</v>
      </c>
      <c r="R21" s="64"/>
    </row>
    <row r="22" spans="1:18" ht="19.5" customHeight="1">
      <c r="A22" s="19">
        <v>18</v>
      </c>
      <c r="B22" s="20" t="s">
        <v>40</v>
      </c>
      <c r="C22" s="21">
        <v>61.427441192937117</v>
      </c>
      <c r="D22" s="25">
        <v>32.52848368134935</v>
      </c>
      <c r="E22" s="25">
        <v>7.8759937455925408</v>
      </c>
      <c r="F22" s="25">
        <v>10.14457373947408</v>
      </c>
      <c r="G22" s="25">
        <v>22.558794079197995</v>
      </c>
      <c r="H22" s="25">
        <v>47.414172702261787</v>
      </c>
      <c r="I22" s="25">
        <v>63.078514369091273</v>
      </c>
      <c r="J22" s="25">
        <v>87.464854654492783</v>
      </c>
      <c r="K22" s="25">
        <v>124.5801734051486</v>
      </c>
      <c r="L22" s="25">
        <v>82.02053290884632</v>
      </c>
      <c r="M22" s="25">
        <v>107.86185537867922</v>
      </c>
      <c r="N22" s="76">
        <v>130.17641167305911</v>
      </c>
      <c r="O22" s="24">
        <f t="shared" si="0"/>
        <v>130.17641167305911</v>
      </c>
      <c r="P22" s="25">
        <f t="shared" si="1"/>
        <v>7.8759937455925408</v>
      </c>
      <c r="Q22" s="26">
        <f t="shared" si="2"/>
        <v>64.760983460844187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4.46</v>
      </c>
      <c r="E23" s="25">
        <v>2.81</v>
      </c>
      <c r="F23" s="25">
        <v>3.7650000000000001</v>
      </c>
      <c r="G23" s="25">
        <v>3.59</v>
      </c>
      <c r="H23" s="25">
        <v>22.59</v>
      </c>
      <c r="I23" s="25">
        <v>6.15</v>
      </c>
      <c r="J23" s="25">
        <v>9.0730000000000004</v>
      </c>
      <c r="K23" s="25">
        <v>7.84</v>
      </c>
      <c r="L23" s="25">
        <v>6.35</v>
      </c>
      <c r="M23" s="25">
        <v>5.77</v>
      </c>
      <c r="N23" s="76">
        <v>4.08</v>
      </c>
      <c r="O23" s="24">
        <f t="shared" si="0"/>
        <v>22.59</v>
      </c>
      <c r="P23" s="25">
        <f t="shared" si="1"/>
        <v>2.81</v>
      </c>
      <c r="Q23" s="26">
        <f t="shared" si="2"/>
        <v>6.9525454545454544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13</v>
      </c>
      <c r="J24" s="25">
        <v>5.55</v>
      </c>
      <c r="K24" s="25">
        <v>6.27</v>
      </c>
      <c r="L24" s="25">
        <v>108</v>
      </c>
      <c r="M24" s="25">
        <v>74</v>
      </c>
      <c r="N24" s="85">
        <v>34.700000000000003</v>
      </c>
      <c r="O24" s="24">
        <f t="shared" si="0"/>
        <v>108</v>
      </c>
      <c r="P24" s="25">
        <f t="shared" si="1"/>
        <v>5.55</v>
      </c>
      <c r="Q24" s="26">
        <f t="shared" si="2"/>
        <v>40.25333333333333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>
        <v>50.32</v>
      </c>
      <c r="K25" s="47">
        <v>15.75</v>
      </c>
      <c r="L25" s="47">
        <v>40.92</v>
      </c>
      <c r="M25" s="47">
        <v>60.7</v>
      </c>
      <c r="N25" s="87">
        <v>40.53</v>
      </c>
      <c r="O25" s="46">
        <f t="shared" si="0"/>
        <v>60.7</v>
      </c>
      <c r="P25" s="47">
        <f t="shared" si="1"/>
        <v>15.75</v>
      </c>
      <c r="Q25" s="48">
        <f t="shared" si="2"/>
        <v>41.643999999999998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35.65</v>
      </c>
      <c r="D26" s="17">
        <v>1.1399999999999999</v>
      </c>
      <c r="E26" s="17">
        <v>4.4000000000000004</v>
      </c>
      <c r="F26" s="17">
        <v>4.67</v>
      </c>
      <c r="G26" s="17">
        <v>3.01</v>
      </c>
      <c r="H26" s="17">
        <v>3.74</v>
      </c>
      <c r="I26" s="17">
        <v>11.94</v>
      </c>
      <c r="J26" s="17">
        <v>33.14</v>
      </c>
      <c r="K26" s="17">
        <v>46.24</v>
      </c>
      <c r="L26" s="17">
        <v>50.69</v>
      </c>
      <c r="M26" s="17">
        <v>49.54</v>
      </c>
      <c r="N26" s="75">
        <v>55.89</v>
      </c>
      <c r="O26" s="16">
        <f t="shared" si="0"/>
        <v>55.89</v>
      </c>
      <c r="P26" s="17">
        <f t="shared" si="1"/>
        <v>1.1399999999999999</v>
      </c>
      <c r="Q26" s="18">
        <f t="shared" si="2"/>
        <v>25.004166666666666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5.1179851603330988</v>
      </c>
      <c r="G27" s="25">
        <v>4.9725174583963412</v>
      </c>
      <c r="H27" s="25">
        <v>3.7596230468475418</v>
      </c>
      <c r="I27" s="25">
        <v>3.5426668310297367</v>
      </c>
      <c r="J27" s="25">
        <v>0.38129485049019424</v>
      </c>
      <c r="K27" s="25">
        <v>14.694527503446832</v>
      </c>
      <c r="L27" s="25">
        <v>14.641338009762766</v>
      </c>
      <c r="M27" s="25">
        <v>1.6653481260825196</v>
      </c>
      <c r="N27" s="85">
        <v>6.7513430647392578</v>
      </c>
      <c r="O27" s="24">
        <v>27.414728859469552</v>
      </c>
      <c r="P27" s="25">
        <f t="shared" si="1"/>
        <v>0.38129485049019424</v>
      </c>
      <c r="Q27" s="26">
        <f t="shared" si="2"/>
        <v>6.1696271167920322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2.2000000000000002</v>
      </c>
      <c r="E28" s="25">
        <v>51.7</v>
      </c>
      <c r="F28" s="25">
        <v>2.6</v>
      </c>
      <c r="G28" s="25">
        <v>97.6</v>
      </c>
      <c r="H28" s="90" t="s">
        <v>21</v>
      </c>
      <c r="I28" s="25">
        <v>2.2000000000000002</v>
      </c>
      <c r="J28" s="25">
        <v>6</v>
      </c>
      <c r="K28" s="25">
        <v>8.6</v>
      </c>
      <c r="L28" s="25" t="s">
        <v>21</v>
      </c>
      <c r="M28" s="25">
        <v>4</v>
      </c>
      <c r="N28" s="76" t="s">
        <v>21</v>
      </c>
      <c r="O28" s="24">
        <f t="shared" ref="O28:O29" si="3">MAX(C28:N28)</f>
        <v>97.6</v>
      </c>
      <c r="P28" s="25">
        <f t="shared" si="1"/>
        <v>2.2000000000000002</v>
      </c>
      <c r="Q28" s="26">
        <f t="shared" si="2"/>
        <v>21.862499999999997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38.576061327229247</v>
      </c>
      <c r="I29" s="61">
        <v>4.2997496513762972</v>
      </c>
      <c r="J29" s="61">
        <v>7.8350993647301443</v>
      </c>
      <c r="K29" s="61">
        <v>7.5540699757513003</v>
      </c>
      <c r="L29" s="61">
        <v>8.107727633094429</v>
      </c>
      <c r="M29" s="61">
        <v>10.092559864033504</v>
      </c>
      <c r="N29" s="83">
        <v>44.626090258194928</v>
      </c>
      <c r="O29" s="60">
        <f t="shared" si="3"/>
        <v>44.626090258194928</v>
      </c>
      <c r="P29" s="61">
        <f t="shared" si="1"/>
        <v>4.2997496513762972</v>
      </c>
      <c r="Q29" s="62">
        <f t="shared" si="2"/>
        <v>17.298765439201407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62</v>
      </c>
    </row>
    <row r="3" spans="1:18" ht="19.5" customHeight="1">
      <c r="O3" s="5" t="s">
        <v>63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97.6561679673131*0.53</f>
        <v>51.757769022675944</v>
      </c>
      <c r="D5" s="17">
        <f>55.5529008340708*0.53</f>
        <v>29.443037442057523</v>
      </c>
      <c r="E5" s="17">
        <f>85.4209872602088*0.53</f>
        <v>45.273123247910668</v>
      </c>
      <c r="F5" s="17">
        <f>58.284476930619*0.53</f>
        <v>30.890772773228072</v>
      </c>
      <c r="G5" s="17">
        <f>76.3680197153596*0.53</f>
        <v>40.475050449140589</v>
      </c>
      <c r="H5" s="17">
        <f>37.8178972193233*0.53</f>
        <v>20.043485526241351</v>
      </c>
      <c r="I5" s="17">
        <f>24.8167188409104*0.53</f>
        <v>13.152860985682514</v>
      </c>
      <c r="J5" s="17">
        <f>32.3244607511635*0.53</f>
        <v>17.131964198116655</v>
      </c>
      <c r="K5" s="17">
        <f>78.2278045030914*0.53</f>
        <v>41.460736386638445</v>
      </c>
      <c r="L5" s="17">
        <f>76.5317188190185*0.53</f>
        <v>40.561810974079805</v>
      </c>
      <c r="M5" s="17">
        <f>112.112312907545*0.53</f>
        <v>59.419525840998858</v>
      </c>
      <c r="N5" s="75">
        <f>76.0151768234442*0.53</f>
        <v>40.288043716425427</v>
      </c>
      <c r="O5" s="16">
        <f t="shared" ref="O5:O26" si="0">MAX(C5:N5)</f>
        <v>59.419525840998858</v>
      </c>
      <c r="P5" s="17">
        <f t="shared" ref="P5:P29" si="1">MIN(C5:N5)</f>
        <v>13.152860985682514</v>
      </c>
      <c r="Q5" s="18">
        <f t="shared" ref="Q5:Q29" si="2">AVERAGE(C5:N5)</f>
        <v>35.824848380266317</v>
      </c>
    </row>
    <row r="6" spans="1:18" ht="19.5" customHeight="1">
      <c r="A6" s="27">
        <v>2</v>
      </c>
      <c r="B6" s="20" t="s">
        <v>20</v>
      </c>
      <c r="C6" s="21" t="s">
        <v>21</v>
      </c>
      <c r="D6" s="25">
        <v>47.9</v>
      </c>
      <c r="E6" s="25">
        <v>57.2</v>
      </c>
      <c r="F6" s="25">
        <v>57.1</v>
      </c>
      <c r="G6" s="25">
        <v>42.4</v>
      </c>
      <c r="H6" s="25">
        <v>30.8</v>
      </c>
      <c r="I6" s="25">
        <v>31.3</v>
      </c>
      <c r="J6" s="25">
        <v>54.4</v>
      </c>
      <c r="K6" s="25">
        <v>78.2</v>
      </c>
      <c r="L6" s="25">
        <v>65.7</v>
      </c>
      <c r="M6" s="25">
        <v>77.5</v>
      </c>
      <c r="N6" s="76">
        <v>46.7</v>
      </c>
      <c r="O6" s="24">
        <f t="shared" si="0"/>
        <v>78.2</v>
      </c>
      <c r="P6" s="25">
        <f t="shared" si="1"/>
        <v>30.8</v>
      </c>
      <c r="Q6" s="26">
        <f t="shared" si="2"/>
        <v>53.56363636363637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20.399999999999999</v>
      </c>
      <c r="F7" s="25" t="s">
        <v>21</v>
      </c>
      <c r="G7" s="25">
        <v>17.8</v>
      </c>
      <c r="H7" s="25" t="s">
        <v>21</v>
      </c>
      <c r="I7" s="25">
        <v>33.299999999999997</v>
      </c>
      <c r="J7" s="25" t="s">
        <v>21</v>
      </c>
      <c r="K7" s="25" t="s">
        <v>21</v>
      </c>
      <c r="L7" s="25" t="s">
        <v>21</v>
      </c>
      <c r="M7" s="25">
        <v>178</v>
      </c>
      <c r="N7" s="76" t="s">
        <v>21</v>
      </c>
      <c r="O7" s="24">
        <f t="shared" si="0"/>
        <v>178</v>
      </c>
      <c r="P7" s="25">
        <f t="shared" si="1"/>
        <v>17.8</v>
      </c>
      <c r="Q7" s="26">
        <f t="shared" si="2"/>
        <v>62.375</v>
      </c>
    </row>
    <row r="8" spans="1:18" ht="19.5" customHeight="1">
      <c r="A8" s="19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33.046381210045176</v>
      </c>
      <c r="G8" s="25">
        <v>17.280383120192543</v>
      </c>
      <c r="H8" s="25">
        <v>27.646090506221601</v>
      </c>
      <c r="I8" s="25">
        <v>26.985223696320737</v>
      </c>
      <c r="J8" s="25">
        <v>54.653661949264325</v>
      </c>
      <c r="K8" s="25">
        <v>54.631819746256049</v>
      </c>
      <c r="L8" s="25">
        <v>43.988883637423704</v>
      </c>
      <c r="M8" s="25">
        <v>57.77700230827876</v>
      </c>
      <c r="N8" s="76">
        <v>51.135067668706661</v>
      </c>
      <c r="O8" s="24">
        <f t="shared" si="0"/>
        <v>57.77700230827876</v>
      </c>
      <c r="P8" s="25">
        <f t="shared" si="1"/>
        <v>17.280383120192543</v>
      </c>
      <c r="Q8" s="26">
        <f t="shared" si="2"/>
        <v>40.793834871412173</v>
      </c>
    </row>
    <row r="9" spans="1:18" ht="19.5" customHeight="1">
      <c r="A9" s="28">
        <v>5</v>
      </c>
      <c r="B9" s="29" t="s">
        <v>24</v>
      </c>
      <c r="C9" s="77">
        <v>46.82</v>
      </c>
      <c r="D9" s="35">
        <v>71.39</v>
      </c>
      <c r="E9" s="78">
        <v>75.34</v>
      </c>
      <c r="F9" s="35">
        <v>39.01</v>
      </c>
      <c r="G9" s="35">
        <v>38.799999999999997</v>
      </c>
      <c r="H9" s="35">
        <v>57.58</v>
      </c>
      <c r="I9" s="78">
        <v>50.85</v>
      </c>
      <c r="J9" s="35">
        <v>61.98</v>
      </c>
      <c r="K9" s="35">
        <v>70.92</v>
      </c>
      <c r="L9" s="35">
        <v>68.42</v>
      </c>
      <c r="M9" s="35">
        <v>73.150000000000006</v>
      </c>
      <c r="N9" s="79">
        <v>64.47</v>
      </c>
      <c r="O9" s="34">
        <f t="shared" si="0"/>
        <v>75.34</v>
      </c>
      <c r="P9" s="35">
        <f t="shared" si="1"/>
        <v>38.799999999999997</v>
      </c>
      <c r="Q9" s="36">
        <f t="shared" si="2"/>
        <v>59.894166666666671</v>
      </c>
    </row>
    <row r="10" spans="1:18" ht="19.5" customHeight="1">
      <c r="A10" s="37">
        <v>6</v>
      </c>
      <c r="B10" s="38" t="s">
        <v>25</v>
      </c>
      <c r="C10" s="63">
        <v>209.49980885311868</v>
      </c>
      <c r="D10" s="42">
        <v>267.50106017191979</v>
      </c>
      <c r="E10" s="42">
        <v>164.84100616016428</v>
      </c>
      <c r="F10" s="42">
        <v>61.846189024390242</v>
      </c>
      <c r="G10" s="42">
        <v>198.12002510460252</v>
      </c>
      <c r="H10" s="80">
        <v>128.73415274463005</v>
      </c>
      <c r="I10" s="42">
        <v>69.655743243243251</v>
      </c>
      <c r="J10" s="42">
        <v>56.176016260162605</v>
      </c>
      <c r="K10" s="42">
        <v>132.2546925566343</v>
      </c>
      <c r="L10" s="42">
        <v>71.176236663433556</v>
      </c>
      <c r="M10" s="42">
        <v>32.215781249999999</v>
      </c>
      <c r="N10" s="81">
        <v>12.842378048780489</v>
      </c>
      <c r="O10" s="41">
        <f t="shared" si="0"/>
        <v>267.50106017191979</v>
      </c>
      <c r="P10" s="42">
        <f t="shared" si="1"/>
        <v>12.842378048780489</v>
      </c>
      <c r="Q10" s="43">
        <f t="shared" si="2"/>
        <v>117.07192417342334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117</v>
      </c>
      <c r="F11" s="47">
        <v>66.099999999999994</v>
      </c>
      <c r="G11" s="47">
        <v>50</v>
      </c>
      <c r="H11" s="47">
        <v>47.5</v>
      </c>
      <c r="I11" s="47">
        <v>74.5</v>
      </c>
      <c r="J11" s="47">
        <v>248</v>
      </c>
      <c r="K11" s="47">
        <v>177</v>
      </c>
      <c r="L11" s="47">
        <v>310</v>
      </c>
      <c r="M11" s="47">
        <v>176</v>
      </c>
      <c r="N11" s="82">
        <v>104</v>
      </c>
      <c r="O11" s="46">
        <f t="shared" si="0"/>
        <v>310</v>
      </c>
      <c r="P11" s="47">
        <f t="shared" si="1"/>
        <v>47.5</v>
      </c>
      <c r="Q11" s="48">
        <f t="shared" si="2"/>
        <v>137.01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4.3338000000000001</v>
      </c>
      <c r="D12" s="17">
        <v>31.003799999999998</v>
      </c>
      <c r="E12" s="17">
        <v>20.226700000000001</v>
      </c>
      <c r="F12" s="17">
        <v>12.5693</v>
      </c>
      <c r="G12" s="17">
        <v>29.1494</v>
      </c>
      <c r="H12" s="17">
        <v>46.792499999999997</v>
      </c>
      <c r="I12" s="17">
        <v>30.281700000000001</v>
      </c>
      <c r="J12" s="17">
        <v>31.802099999999999</v>
      </c>
      <c r="K12" s="17">
        <v>53.359000000000002</v>
      </c>
      <c r="L12" s="17">
        <v>48.7879</v>
      </c>
      <c r="M12" s="17">
        <v>39.145499999999998</v>
      </c>
      <c r="N12" s="75">
        <v>42.243000000000002</v>
      </c>
      <c r="O12" s="16">
        <f t="shared" si="0"/>
        <v>53.359000000000002</v>
      </c>
      <c r="P12" s="17">
        <f t="shared" si="1"/>
        <v>4.3338000000000001</v>
      </c>
      <c r="Q12" s="18">
        <f t="shared" si="2"/>
        <v>32.474558333333327</v>
      </c>
    </row>
    <row r="13" spans="1:18" ht="19.5" customHeight="1">
      <c r="A13" s="19">
        <v>9</v>
      </c>
      <c r="B13" s="20" t="s">
        <v>29</v>
      </c>
      <c r="C13" s="21">
        <v>64.319999999999993</v>
      </c>
      <c r="D13" s="25">
        <v>105.78</v>
      </c>
      <c r="E13" s="25">
        <v>62.43</v>
      </c>
      <c r="F13" s="25">
        <v>49.38</v>
      </c>
      <c r="G13" s="25">
        <v>33.549999999999997</v>
      </c>
      <c r="H13" s="25">
        <v>58.06</v>
      </c>
      <c r="I13" s="25">
        <v>39.58</v>
      </c>
      <c r="J13" s="25">
        <v>62.66</v>
      </c>
      <c r="K13" s="25">
        <v>79.400000000000006</v>
      </c>
      <c r="L13" s="25">
        <v>89.04</v>
      </c>
      <c r="M13" s="25">
        <v>103.14</v>
      </c>
      <c r="N13" s="76">
        <v>77.48</v>
      </c>
      <c r="O13" s="24">
        <f t="shared" si="0"/>
        <v>105.78</v>
      </c>
      <c r="P13" s="25">
        <f t="shared" si="1"/>
        <v>33.549999999999997</v>
      </c>
      <c r="Q13" s="26">
        <f t="shared" si="2"/>
        <v>68.734999999999999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78.43725119308138</v>
      </c>
      <c r="D14" s="25">
        <v>87.290960666695312</v>
      </c>
      <c r="E14" s="25">
        <v>62.325408809746257</v>
      </c>
      <c r="F14" s="25">
        <v>70.975697347845028</v>
      </c>
      <c r="G14" s="25">
        <v>24.143402575060691</v>
      </c>
      <c r="H14" s="25">
        <v>43.133546189417466</v>
      </c>
      <c r="I14" s="25">
        <v>44.571091410568727</v>
      </c>
      <c r="J14" s="25">
        <v>85.291563209405695</v>
      </c>
      <c r="K14" s="25">
        <v>101.25959188223069</v>
      </c>
      <c r="L14" s="25">
        <v>105.22646554332078</v>
      </c>
      <c r="M14" s="25">
        <v>133.08383174721254</v>
      </c>
      <c r="N14" s="76">
        <v>110.33760737913975</v>
      </c>
      <c r="O14" s="24">
        <f t="shared" si="0"/>
        <v>133.08383174721254</v>
      </c>
      <c r="P14" s="25">
        <f t="shared" si="1"/>
        <v>24.143402575060691</v>
      </c>
      <c r="Q14" s="26">
        <f t="shared" si="2"/>
        <v>78.839701496143704</v>
      </c>
    </row>
    <row r="15" spans="1:18" ht="19.5" customHeight="1">
      <c r="A15" s="19">
        <v>11</v>
      </c>
      <c r="B15" s="20" t="s">
        <v>32</v>
      </c>
      <c r="C15" s="21">
        <v>96.760129557727296</v>
      </c>
      <c r="D15" s="25">
        <v>148.6273277541886</v>
      </c>
      <c r="E15" s="25">
        <v>88.067628536807049</v>
      </c>
      <c r="F15" s="25">
        <v>96.199845824168847</v>
      </c>
      <c r="G15" s="25">
        <v>44.281443890608728</v>
      </c>
      <c r="H15" s="25">
        <v>69.525109675210359</v>
      </c>
      <c r="I15" s="25">
        <v>68.568085295431416</v>
      </c>
      <c r="J15" s="25">
        <v>84.53816454799049</v>
      </c>
      <c r="K15" s="25">
        <v>102.07003498961348</v>
      </c>
      <c r="L15" s="25">
        <v>110.05732410546564</v>
      </c>
      <c r="M15" s="25">
        <v>110.84884248211794</v>
      </c>
      <c r="N15" s="76">
        <v>90.293778466046575</v>
      </c>
      <c r="O15" s="24">
        <f t="shared" si="0"/>
        <v>148.6273277541886</v>
      </c>
      <c r="P15" s="25">
        <f t="shared" si="1"/>
        <v>44.281443890608728</v>
      </c>
      <c r="Q15" s="26">
        <f t="shared" si="2"/>
        <v>92.486476260448043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22.6</v>
      </c>
      <c r="D16" s="25">
        <v>35.5</v>
      </c>
      <c r="E16" s="25">
        <v>47.6</v>
      </c>
      <c r="F16" s="25">
        <v>25.7</v>
      </c>
      <c r="G16" s="25">
        <v>36.700000000000003</v>
      </c>
      <c r="H16" s="25">
        <v>20.7</v>
      </c>
      <c r="I16" s="25">
        <v>10.4</v>
      </c>
      <c r="J16" s="25">
        <v>9.9</v>
      </c>
      <c r="K16" s="25">
        <v>15.2</v>
      </c>
      <c r="L16" s="25">
        <v>33.799999999999997</v>
      </c>
      <c r="M16" s="25">
        <v>14.3</v>
      </c>
      <c r="N16" s="76">
        <v>31.4</v>
      </c>
      <c r="O16" s="24">
        <f t="shared" si="0"/>
        <v>47.6</v>
      </c>
      <c r="P16" s="25">
        <f t="shared" si="1"/>
        <v>9.9</v>
      </c>
      <c r="Q16" s="26">
        <f t="shared" si="2"/>
        <v>25.316666666666666</v>
      </c>
    </row>
    <row r="17" spans="1:18" ht="19.5" customHeight="1">
      <c r="A17" s="19">
        <v>13</v>
      </c>
      <c r="B17" s="20" t="s">
        <v>35</v>
      </c>
      <c r="C17" s="21">
        <v>46.02</v>
      </c>
      <c r="D17" s="25">
        <v>125.05</v>
      </c>
      <c r="E17" s="25">
        <v>55.63</v>
      </c>
      <c r="F17" s="25">
        <v>61.37</v>
      </c>
      <c r="G17" s="25">
        <v>55.29</v>
      </c>
      <c r="H17" s="25" t="s">
        <v>21</v>
      </c>
      <c r="I17" s="25" t="s">
        <v>21</v>
      </c>
      <c r="J17" s="25">
        <v>69.44</v>
      </c>
      <c r="K17" s="25">
        <v>91.48</v>
      </c>
      <c r="L17" s="25">
        <v>81.75</v>
      </c>
      <c r="M17" s="25">
        <v>110.41</v>
      </c>
      <c r="N17" s="76">
        <v>102.53</v>
      </c>
      <c r="O17" s="24">
        <f t="shared" si="0"/>
        <v>125.05</v>
      </c>
      <c r="P17" s="25">
        <f t="shared" si="1"/>
        <v>46.02</v>
      </c>
      <c r="Q17" s="26">
        <f t="shared" si="2"/>
        <v>79.896999999999991</v>
      </c>
    </row>
    <row r="18" spans="1:18" ht="19.5" customHeight="1">
      <c r="A18" s="19">
        <v>14</v>
      </c>
      <c r="B18" s="20" t="s">
        <v>36</v>
      </c>
      <c r="C18" s="21" t="s">
        <v>21</v>
      </c>
      <c r="D18" s="25" t="s">
        <v>21</v>
      </c>
      <c r="E18" s="25">
        <v>41.184336790114784</v>
      </c>
      <c r="F18" s="25" t="s">
        <v>21</v>
      </c>
      <c r="G18" s="25" t="s">
        <v>21</v>
      </c>
      <c r="H18" s="25">
        <v>55.63283160872804</v>
      </c>
      <c r="I18" s="25">
        <v>34.056987213223209</v>
      </c>
      <c r="J18" s="25">
        <v>47.354032871400733</v>
      </c>
      <c r="K18" s="25">
        <v>56.457471711537934</v>
      </c>
      <c r="L18" s="25">
        <v>45.778792974657819</v>
      </c>
      <c r="M18" s="25">
        <v>65.514570295534952</v>
      </c>
      <c r="N18" s="76">
        <v>72.443029027186967</v>
      </c>
      <c r="O18" s="24">
        <f t="shared" si="0"/>
        <v>72.443029027186967</v>
      </c>
      <c r="P18" s="25">
        <f t="shared" si="1"/>
        <v>34.056987213223209</v>
      </c>
      <c r="Q18" s="26">
        <f t="shared" si="2"/>
        <v>52.302756561548058</v>
      </c>
    </row>
    <row r="19" spans="1:18" ht="19.5" customHeight="1">
      <c r="A19" s="19">
        <v>15</v>
      </c>
      <c r="B19" s="20" t="s">
        <v>37</v>
      </c>
      <c r="C19" s="21">
        <v>31.27</v>
      </c>
      <c r="D19" s="25">
        <v>53.34</v>
      </c>
      <c r="E19" s="25">
        <v>30.48</v>
      </c>
      <c r="F19" s="25">
        <v>38.89</v>
      </c>
      <c r="G19" s="25">
        <v>48.25</v>
      </c>
      <c r="H19" s="25">
        <v>64.83</v>
      </c>
      <c r="I19" s="25">
        <v>66.63</v>
      </c>
      <c r="J19" s="25">
        <v>87.77</v>
      </c>
      <c r="K19" s="25">
        <v>122.74</v>
      </c>
      <c r="L19" s="25">
        <v>99.95</v>
      </c>
      <c r="M19" s="25">
        <v>99.34</v>
      </c>
      <c r="N19" s="76">
        <v>76.84</v>
      </c>
      <c r="O19" s="24">
        <f t="shared" si="0"/>
        <v>122.74</v>
      </c>
      <c r="P19" s="25">
        <f t="shared" si="1"/>
        <v>30.48</v>
      </c>
      <c r="Q19" s="26">
        <f t="shared" si="2"/>
        <v>68.360833333333332</v>
      </c>
    </row>
    <row r="20" spans="1:18" ht="19.5" customHeight="1">
      <c r="A20" s="91">
        <v>16</v>
      </c>
      <c r="B20" s="56" t="s">
        <v>38</v>
      </c>
      <c r="C20" s="66">
        <v>73.900000000000006</v>
      </c>
      <c r="D20" s="61">
        <v>135.19999999999999</v>
      </c>
      <c r="E20" s="61">
        <v>66.900000000000006</v>
      </c>
      <c r="F20" s="61">
        <v>78</v>
      </c>
      <c r="G20" s="61">
        <v>56.4</v>
      </c>
      <c r="H20" s="61">
        <v>63.3</v>
      </c>
      <c r="I20" s="61">
        <v>59.9</v>
      </c>
      <c r="J20" s="61">
        <v>79.8</v>
      </c>
      <c r="K20" s="61">
        <v>104.8</v>
      </c>
      <c r="L20" s="61">
        <v>98.8</v>
      </c>
      <c r="M20" s="61">
        <v>113</v>
      </c>
      <c r="N20" s="83">
        <v>116.3</v>
      </c>
      <c r="O20" s="60">
        <f t="shared" si="0"/>
        <v>135.19999999999999</v>
      </c>
      <c r="P20" s="61">
        <f t="shared" si="1"/>
        <v>56.4</v>
      </c>
      <c r="Q20" s="62">
        <f t="shared" si="2"/>
        <v>87.191666666666663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4.6762862365711833</v>
      </c>
      <c r="I21" s="42">
        <v>7.120817455226927</v>
      </c>
      <c r="J21" s="42">
        <v>13.591104183355476</v>
      </c>
      <c r="K21" s="42">
        <v>23.355015026943029</v>
      </c>
      <c r="L21" s="42">
        <v>27.335988214321855</v>
      </c>
      <c r="M21" s="42">
        <v>31.22246651474072</v>
      </c>
      <c r="N21" s="81">
        <v>57.224322991627453</v>
      </c>
      <c r="O21" s="41">
        <f t="shared" si="0"/>
        <v>57.224322991627453</v>
      </c>
      <c r="P21" s="42">
        <f t="shared" si="1"/>
        <v>4.6762862365711833</v>
      </c>
      <c r="Q21" s="43">
        <f t="shared" si="2"/>
        <v>23.503714374683806</v>
      </c>
      <c r="R21" s="64"/>
    </row>
    <row r="22" spans="1:18" ht="19.5" customHeight="1">
      <c r="A22" s="19">
        <v>18</v>
      </c>
      <c r="B22" s="20" t="s">
        <v>40</v>
      </c>
      <c r="C22" s="21">
        <v>61.067703276803037</v>
      </c>
      <c r="D22" s="25">
        <v>95.399783608985544</v>
      </c>
      <c r="E22" s="25">
        <v>67.322982976028356</v>
      </c>
      <c r="F22" s="25">
        <v>51.147103732263545</v>
      </c>
      <c r="G22" s="25">
        <v>40.586812822883893</v>
      </c>
      <c r="H22" s="25">
        <v>76.307966058756122</v>
      </c>
      <c r="I22" s="25">
        <v>36.305292752782556</v>
      </c>
      <c r="J22" s="25">
        <v>46.513003684221765</v>
      </c>
      <c r="K22" s="25">
        <v>58.95283946299535</v>
      </c>
      <c r="L22" s="25">
        <v>88.341380801610754</v>
      </c>
      <c r="M22" s="25">
        <v>77.179819214455378</v>
      </c>
      <c r="N22" s="76">
        <v>83.546002740398038</v>
      </c>
      <c r="O22" s="24">
        <f t="shared" si="0"/>
        <v>95.399783608985544</v>
      </c>
      <c r="P22" s="25">
        <f t="shared" si="1"/>
        <v>36.305292752782556</v>
      </c>
      <c r="Q22" s="26">
        <f t="shared" si="2"/>
        <v>65.2225575943487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12.095000000000001</v>
      </c>
      <c r="E23" s="25">
        <v>12.78</v>
      </c>
      <c r="F23" s="25">
        <v>7.9569999999999999</v>
      </c>
      <c r="G23" s="25">
        <v>8.35</v>
      </c>
      <c r="H23" s="25">
        <v>7.21</v>
      </c>
      <c r="I23" s="25">
        <v>7.91</v>
      </c>
      <c r="J23" s="25">
        <v>44.323300000000003</v>
      </c>
      <c r="K23" s="25">
        <v>10.58</v>
      </c>
      <c r="L23" s="25">
        <v>23.91</v>
      </c>
      <c r="M23" s="25">
        <v>7.58</v>
      </c>
      <c r="N23" s="76">
        <v>9.25</v>
      </c>
      <c r="O23" s="24">
        <f t="shared" si="0"/>
        <v>44.323300000000003</v>
      </c>
      <c r="P23" s="25">
        <f t="shared" si="1"/>
        <v>7.21</v>
      </c>
      <c r="Q23" s="26">
        <f t="shared" si="2"/>
        <v>13.813209090909094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66.099999999999994</v>
      </c>
      <c r="J24" s="25">
        <v>37.5</v>
      </c>
      <c r="K24" s="25">
        <v>56.7</v>
      </c>
      <c r="L24" s="25">
        <v>304</v>
      </c>
      <c r="M24" s="25">
        <v>17.899999999999999</v>
      </c>
      <c r="N24" s="85">
        <v>249</v>
      </c>
      <c r="O24" s="24">
        <f t="shared" si="0"/>
        <v>304</v>
      </c>
      <c r="P24" s="25">
        <f t="shared" si="1"/>
        <v>17.899999999999999</v>
      </c>
      <c r="Q24" s="26">
        <f t="shared" si="2"/>
        <v>121.86666666666667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 t="s">
        <v>21</v>
      </c>
      <c r="K25" s="47" t="s">
        <v>21</v>
      </c>
      <c r="L25" s="47" t="s">
        <v>21</v>
      </c>
      <c r="M25" s="47" t="s">
        <v>21</v>
      </c>
      <c r="N25" s="87" t="s">
        <v>21</v>
      </c>
      <c r="O25" s="46">
        <f t="shared" si="0"/>
        <v>0</v>
      </c>
      <c r="P25" s="47">
        <f t="shared" si="1"/>
        <v>0</v>
      </c>
      <c r="Q25" s="48" t="e">
        <f t="shared" si="2"/>
        <v>#DIV/0!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75.17</v>
      </c>
      <c r="D26" s="17">
        <v>103.32</v>
      </c>
      <c r="E26" s="17">
        <v>94.04</v>
      </c>
      <c r="F26" s="17">
        <v>68.12</v>
      </c>
      <c r="G26" s="17">
        <v>27.43</v>
      </c>
      <c r="H26" s="17">
        <v>62.38</v>
      </c>
      <c r="I26" s="17">
        <v>59.92</v>
      </c>
      <c r="J26" s="17">
        <v>121.62</v>
      </c>
      <c r="K26" s="17">
        <v>137.4</v>
      </c>
      <c r="L26" s="17">
        <v>135.08000000000001</v>
      </c>
      <c r="M26" s="17">
        <v>143.65</v>
      </c>
      <c r="N26" s="75">
        <v>117.84</v>
      </c>
      <c r="O26" s="16">
        <f t="shared" si="0"/>
        <v>143.65</v>
      </c>
      <c r="P26" s="17">
        <f t="shared" si="1"/>
        <v>27.43</v>
      </c>
      <c r="Q26" s="18">
        <f t="shared" si="2"/>
        <v>95.497500000000002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17.087122241779522</v>
      </c>
      <c r="G27" s="25">
        <v>28.055832694204344</v>
      </c>
      <c r="H27" s="25">
        <v>20.738346244471192</v>
      </c>
      <c r="I27" s="25">
        <v>47.157093060840033</v>
      </c>
      <c r="J27" s="25">
        <v>7.2090590290426553</v>
      </c>
      <c r="K27" s="25">
        <v>87.310347132181136</v>
      </c>
      <c r="L27" s="25">
        <v>44.957862375628444</v>
      </c>
      <c r="M27" s="25">
        <v>1.40755461225449</v>
      </c>
      <c r="N27" s="85">
        <v>39.562286414564447</v>
      </c>
      <c r="O27" s="24">
        <v>29.648026469323469</v>
      </c>
      <c r="P27" s="25">
        <f t="shared" si="1"/>
        <v>1.40755461225449</v>
      </c>
      <c r="Q27" s="26">
        <f t="shared" si="2"/>
        <v>32.609500422774026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223</v>
      </c>
      <c r="E28" s="25">
        <v>90</v>
      </c>
      <c r="F28" s="25">
        <v>119</v>
      </c>
      <c r="G28" s="25">
        <v>111</v>
      </c>
      <c r="H28" s="90" t="s">
        <v>21</v>
      </c>
      <c r="I28" s="25">
        <v>96</v>
      </c>
      <c r="J28" s="25">
        <v>125</v>
      </c>
      <c r="K28" s="25">
        <v>148</v>
      </c>
      <c r="L28" s="25" t="s">
        <v>21</v>
      </c>
      <c r="M28" s="25">
        <v>233</v>
      </c>
      <c r="N28" s="76" t="s">
        <v>21</v>
      </c>
      <c r="O28" s="24">
        <f t="shared" ref="O28:O29" si="3">MAX(C28:N28)</f>
        <v>233</v>
      </c>
      <c r="P28" s="25">
        <f t="shared" si="1"/>
        <v>90</v>
      </c>
      <c r="Q28" s="26">
        <f t="shared" si="2"/>
        <v>143.125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48.862760941153482</v>
      </c>
      <c r="I29" s="61">
        <v>37.798636040160503</v>
      </c>
      <c r="J29" s="61">
        <v>46.26006411489702</v>
      </c>
      <c r="K29" s="61">
        <v>56.254119157151109</v>
      </c>
      <c r="L29" s="61">
        <v>26.077303344854009</v>
      </c>
      <c r="M29" s="61">
        <v>70.148499368719797</v>
      </c>
      <c r="N29" s="83">
        <v>84.819582450900839</v>
      </c>
      <c r="O29" s="60">
        <f t="shared" si="3"/>
        <v>84.819582450900839</v>
      </c>
      <c r="P29" s="61">
        <f t="shared" si="1"/>
        <v>26.077303344854009</v>
      </c>
      <c r="Q29" s="62">
        <f t="shared" si="2"/>
        <v>52.888709345405246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64</v>
      </c>
    </row>
    <row r="3" spans="1:18" ht="19.5" customHeight="1">
      <c r="O3" s="5" t="s">
        <v>65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27.85479782095*0.53</f>
        <v>14.763042845103501</v>
      </c>
      <c r="D5" s="17">
        <f>6.80880541280111*0.53</f>
        <v>3.6086668687845886</v>
      </c>
      <c r="E5" s="17">
        <f>26.6151920414697*0.53</f>
        <v>14.106051781978943</v>
      </c>
      <c r="F5" s="17">
        <f>15.7282666038317*0.53</f>
        <v>8.3359813000308023</v>
      </c>
      <c r="G5" s="17">
        <f>15.8944801805577*0.53</f>
        <v>8.4240744956955815</v>
      </c>
      <c r="H5" s="17">
        <f>20.782912538106*0.53</f>
        <v>11.014943645196182</v>
      </c>
      <c r="I5" s="17">
        <f>17.9078650030342*0.53</f>
        <v>9.4911684516081269</v>
      </c>
      <c r="J5" s="17">
        <f>14.2701829942069*0.53</f>
        <v>7.5631969869296576</v>
      </c>
      <c r="K5" s="17">
        <f>27.6772854741774*0.53</f>
        <v>14.668961301314022</v>
      </c>
      <c r="L5" s="17">
        <f>38.9677009934586*0.53</f>
        <v>20.652881526533058</v>
      </c>
      <c r="M5" s="17">
        <f>48.3874824547323*0.53</f>
        <v>25.645365701008121</v>
      </c>
      <c r="N5" s="75">
        <f>55.420265376815*0.53</f>
        <v>29.372740649711954</v>
      </c>
      <c r="O5" s="16">
        <f t="shared" ref="O5:O26" si="0">MAX(C5:N5)</f>
        <v>29.372740649711954</v>
      </c>
      <c r="P5" s="17">
        <f t="shared" ref="P5:P29" si="1">MIN(C5:N5)</f>
        <v>3.6086668687845886</v>
      </c>
      <c r="Q5" s="18">
        <f t="shared" ref="Q5:Q29" si="2">AVERAGE(C5:N5)</f>
        <v>13.970589629491213</v>
      </c>
    </row>
    <row r="6" spans="1:18" ht="19.5" customHeight="1">
      <c r="A6" s="27">
        <v>2</v>
      </c>
      <c r="B6" s="20" t="s">
        <v>20</v>
      </c>
      <c r="C6" s="21" t="s">
        <v>21</v>
      </c>
      <c r="D6" s="25">
        <v>7.96</v>
      </c>
      <c r="E6" s="25">
        <v>7.16</v>
      </c>
      <c r="F6" s="25">
        <v>10.9</v>
      </c>
      <c r="G6" s="25">
        <v>8.4499999999999993</v>
      </c>
      <c r="H6" s="25">
        <v>8.4700000000000006</v>
      </c>
      <c r="I6" s="25">
        <v>7.63</v>
      </c>
      <c r="J6" s="25">
        <v>9.08</v>
      </c>
      <c r="K6" s="25">
        <v>5.4</v>
      </c>
      <c r="L6" s="25">
        <v>6.97</v>
      </c>
      <c r="M6" s="25">
        <v>10.199999999999999</v>
      </c>
      <c r="N6" s="76">
        <v>7.91</v>
      </c>
      <c r="O6" s="24">
        <f t="shared" si="0"/>
        <v>10.9</v>
      </c>
      <c r="P6" s="25">
        <f t="shared" si="1"/>
        <v>5.4</v>
      </c>
      <c r="Q6" s="26">
        <f t="shared" si="2"/>
        <v>8.1936363636363634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6.76</v>
      </c>
      <c r="F7" s="25" t="s">
        <v>21</v>
      </c>
      <c r="G7" s="25">
        <v>5.94</v>
      </c>
      <c r="H7" s="25" t="s">
        <v>21</v>
      </c>
      <c r="I7" s="25">
        <v>44.71</v>
      </c>
      <c r="J7" s="25" t="s">
        <v>21</v>
      </c>
      <c r="K7" s="25" t="s">
        <v>21</v>
      </c>
      <c r="L7" s="25" t="s">
        <v>21</v>
      </c>
      <c r="M7" s="25">
        <v>157</v>
      </c>
      <c r="N7" s="76" t="s">
        <v>21</v>
      </c>
      <c r="O7" s="24">
        <f t="shared" si="0"/>
        <v>157</v>
      </c>
      <c r="P7" s="25">
        <f t="shared" si="1"/>
        <v>5.94</v>
      </c>
      <c r="Q7" s="26">
        <f t="shared" si="2"/>
        <v>53.602499999999999</v>
      </c>
    </row>
    <row r="8" spans="1:18" ht="19.5" customHeight="1">
      <c r="A8" s="19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6.9619051738601874</v>
      </c>
      <c r="G8" s="25">
        <v>13.175213324537978</v>
      </c>
      <c r="H8" s="25">
        <v>14.898607650096071</v>
      </c>
      <c r="I8" s="25">
        <v>21.945495957606322</v>
      </c>
      <c r="J8" s="25">
        <v>22.670961350190229</v>
      </c>
      <c r="K8" s="25">
        <v>25.57232117379662</v>
      </c>
      <c r="L8" s="25">
        <v>14.030317534460771</v>
      </c>
      <c r="M8" s="25">
        <v>18.558264538317346</v>
      </c>
      <c r="N8" s="76">
        <v>28.989894074880958</v>
      </c>
      <c r="O8" s="24">
        <f t="shared" si="0"/>
        <v>28.989894074880958</v>
      </c>
      <c r="P8" s="25">
        <f t="shared" si="1"/>
        <v>6.9619051738601874</v>
      </c>
      <c r="Q8" s="26">
        <f t="shared" si="2"/>
        <v>18.533664530860719</v>
      </c>
    </row>
    <row r="9" spans="1:18" ht="19.5" customHeight="1">
      <c r="A9" s="28">
        <v>5</v>
      </c>
      <c r="B9" s="29" t="s">
        <v>24</v>
      </c>
      <c r="C9" s="77">
        <v>56.53</v>
      </c>
      <c r="D9" s="35">
        <v>80.98</v>
      </c>
      <c r="E9" s="78">
        <v>37.65</v>
      </c>
      <c r="F9" s="35">
        <v>19</v>
      </c>
      <c r="G9" s="35">
        <v>25.4</v>
      </c>
      <c r="H9" s="35">
        <v>60.87</v>
      </c>
      <c r="I9" s="78">
        <v>71.88</v>
      </c>
      <c r="J9" s="35">
        <v>64.77</v>
      </c>
      <c r="K9" s="35">
        <v>77.23</v>
      </c>
      <c r="L9" s="35">
        <v>79.459999999999994</v>
      </c>
      <c r="M9" s="35">
        <v>108.78</v>
      </c>
      <c r="N9" s="79">
        <v>118.05</v>
      </c>
      <c r="O9" s="34">
        <f t="shared" si="0"/>
        <v>118.05</v>
      </c>
      <c r="P9" s="35">
        <f t="shared" si="1"/>
        <v>19</v>
      </c>
      <c r="Q9" s="36">
        <f t="shared" si="2"/>
        <v>66.716666666666654</v>
      </c>
    </row>
    <row r="10" spans="1:18" ht="19.5" customHeight="1">
      <c r="A10" s="37">
        <v>6</v>
      </c>
      <c r="B10" s="38" t="s">
        <v>25</v>
      </c>
      <c r="C10" s="63">
        <v>87.592967806841045</v>
      </c>
      <c r="D10" s="42">
        <v>85.104469914040109</v>
      </c>
      <c r="E10" s="42">
        <v>79.417484599589329</v>
      </c>
      <c r="F10" s="42">
        <v>68.596107723577234</v>
      </c>
      <c r="G10" s="42">
        <v>69.028100418410048</v>
      </c>
      <c r="H10" s="80">
        <v>60.62336515513126</v>
      </c>
      <c r="I10" s="42">
        <v>47.250112612612611</v>
      </c>
      <c r="J10" s="42">
        <v>32.555284552845528</v>
      </c>
      <c r="K10" s="42">
        <v>19.720064724919094</v>
      </c>
      <c r="L10" s="42">
        <v>26.511833171677981</v>
      </c>
      <c r="M10" s="42">
        <v>14.553671874999999</v>
      </c>
      <c r="N10" s="81">
        <v>39.278658536585375</v>
      </c>
      <c r="O10" s="41">
        <f t="shared" si="0"/>
        <v>87.592967806841045</v>
      </c>
      <c r="P10" s="42">
        <f t="shared" si="1"/>
        <v>14.553671874999999</v>
      </c>
      <c r="Q10" s="43">
        <f t="shared" si="2"/>
        <v>52.519343424269124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38.9</v>
      </c>
      <c r="F11" s="47">
        <v>48.6</v>
      </c>
      <c r="G11" s="47">
        <v>47.2</v>
      </c>
      <c r="H11" s="47">
        <v>28.7</v>
      </c>
      <c r="I11" s="47">
        <v>45</v>
      </c>
      <c r="J11" s="47">
        <v>59.5</v>
      </c>
      <c r="K11" s="47">
        <v>35.4</v>
      </c>
      <c r="L11" s="47">
        <v>39.5</v>
      </c>
      <c r="M11" s="47">
        <v>22</v>
      </c>
      <c r="N11" s="82">
        <v>26.9</v>
      </c>
      <c r="O11" s="46">
        <f t="shared" si="0"/>
        <v>59.5</v>
      </c>
      <c r="P11" s="47">
        <f t="shared" si="1"/>
        <v>22</v>
      </c>
      <c r="Q11" s="48">
        <f t="shared" si="2"/>
        <v>39.169999999999995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0.46510000000000001</v>
      </c>
      <c r="D12" s="17">
        <v>8.3582999999999998</v>
      </c>
      <c r="E12" s="17">
        <v>4.5350000000000001</v>
      </c>
      <c r="F12" s="17">
        <v>2.1814</v>
      </c>
      <c r="G12" s="17">
        <v>7.3986000000000001</v>
      </c>
      <c r="H12" s="17">
        <v>12.074999999999999</v>
      </c>
      <c r="I12" s="17">
        <v>16.335100000000001</v>
      </c>
      <c r="J12" s="17">
        <v>11.2279</v>
      </c>
      <c r="K12" s="17">
        <v>15.364599999999999</v>
      </c>
      <c r="L12" s="17">
        <v>15.9504</v>
      </c>
      <c r="M12" s="17">
        <v>10.9648</v>
      </c>
      <c r="N12" s="75">
        <v>19.852799999999998</v>
      </c>
      <c r="O12" s="16">
        <f t="shared" si="0"/>
        <v>19.852799999999998</v>
      </c>
      <c r="P12" s="17">
        <f t="shared" si="1"/>
        <v>0.46510000000000001</v>
      </c>
      <c r="Q12" s="18">
        <f t="shared" si="2"/>
        <v>10.392416666666668</v>
      </c>
    </row>
    <row r="13" spans="1:18" ht="19.5" customHeight="1">
      <c r="A13" s="19">
        <v>9</v>
      </c>
      <c r="B13" s="20" t="s">
        <v>29</v>
      </c>
      <c r="C13" s="21">
        <v>40.35</v>
      </c>
      <c r="D13" s="25">
        <v>36.99</v>
      </c>
      <c r="E13" s="25">
        <v>18.5</v>
      </c>
      <c r="F13" s="25">
        <v>25.6</v>
      </c>
      <c r="G13" s="25">
        <v>21.32</v>
      </c>
      <c r="H13" s="25">
        <v>26.47</v>
      </c>
      <c r="I13" s="25">
        <v>45.14</v>
      </c>
      <c r="J13" s="25">
        <v>34.119999999999997</v>
      </c>
      <c r="K13" s="25">
        <v>27.9</v>
      </c>
      <c r="L13" s="25">
        <v>37.76</v>
      </c>
      <c r="M13" s="25">
        <v>57.46</v>
      </c>
      <c r="N13" s="76">
        <v>55.64</v>
      </c>
      <c r="O13" s="24">
        <f t="shared" si="0"/>
        <v>57.46</v>
      </c>
      <c r="P13" s="25">
        <f t="shared" si="1"/>
        <v>18.5</v>
      </c>
      <c r="Q13" s="26">
        <f t="shared" si="2"/>
        <v>35.604166666666664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39.313100716125007</v>
      </c>
      <c r="D14" s="25">
        <v>41.936938398590272</v>
      </c>
      <c r="E14" s="25">
        <v>54.229822526461007</v>
      </c>
      <c r="F14" s="25">
        <v>83.969077542493949</v>
      </c>
      <c r="G14" s="25">
        <v>56.256404304757176</v>
      </c>
      <c r="H14" s="25">
        <v>65.513977791021759</v>
      </c>
      <c r="I14" s="25">
        <v>44.459607940307173</v>
      </c>
      <c r="J14" s="25">
        <v>31.047735194238097</v>
      </c>
      <c r="K14" s="25">
        <v>31.063321113982283</v>
      </c>
      <c r="L14" s="25">
        <v>25.443442261948917</v>
      </c>
      <c r="M14" s="25">
        <v>34.150432758168819</v>
      </c>
      <c r="N14" s="76">
        <v>64.63063139084953</v>
      </c>
      <c r="O14" s="24">
        <f t="shared" si="0"/>
        <v>83.969077542493949</v>
      </c>
      <c r="P14" s="25">
        <f t="shared" si="1"/>
        <v>25.443442261948917</v>
      </c>
      <c r="Q14" s="26">
        <f t="shared" si="2"/>
        <v>47.66787432824534</v>
      </c>
    </row>
    <row r="15" spans="1:18" ht="19.5" customHeight="1">
      <c r="A15" s="19">
        <v>11</v>
      </c>
      <c r="B15" s="20" t="s">
        <v>32</v>
      </c>
      <c r="C15" s="21">
        <v>30.352253884861582</v>
      </c>
      <c r="D15" s="25">
        <v>34.255429167442344</v>
      </c>
      <c r="E15" s="25">
        <v>28.939861655321877</v>
      </c>
      <c r="F15" s="25">
        <v>42.264468576138867</v>
      </c>
      <c r="G15" s="25">
        <v>33.47493253544485</v>
      </c>
      <c r="H15" s="25">
        <v>27.835065031703873</v>
      </c>
      <c r="I15" s="25">
        <v>32.760384489478994</v>
      </c>
      <c r="J15" s="25">
        <v>18.395759409520878</v>
      </c>
      <c r="K15" s="25">
        <v>21.703884274901046</v>
      </c>
      <c r="L15" s="25">
        <v>16.819176138881303</v>
      </c>
      <c r="M15" s="25">
        <v>19.047934017609922</v>
      </c>
      <c r="N15" s="76">
        <v>28.328786518661371</v>
      </c>
      <c r="O15" s="24">
        <f t="shared" si="0"/>
        <v>42.264468576138867</v>
      </c>
      <c r="P15" s="25">
        <f t="shared" si="1"/>
        <v>16.819176138881303</v>
      </c>
      <c r="Q15" s="26">
        <f t="shared" si="2"/>
        <v>27.848161308330575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15.8</v>
      </c>
      <c r="D16" s="25">
        <v>14</v>
      </c>
      <c r="E16" s="25">
        <v>28.5</v>
      </c>
      <c r="F16" s="25" t="s">
        <v>21</v>
      </c>
      <c r="G16" s="25">
        <v>26.3</v>
      </c>
      <c r="H16" s="25">
        <v>19.8</v>
      </c>
      <c r="I16" s="25">
        <v>14.3</v>
      </c>
      <c r="J16" s="25">
        <v>8.3000000000000007</v>
      </c>
      <c r="K16" s="25">
        <v>8.8000000000000007</v>
      </c>
      <c r="L16" s="25">
        <v>10</v>
      </c>
      <c r="M16" s="25">
        <v>5.6</v>
      </c>
      <c r="N16" s="76">
        <v>15.2</v>
      </c>
      <c r="O16" s="24">
        <f t="shared" si="0"/>
        <v>28.5</v>
      </c>
      <c r="P16" s="25">
        <f t="shared" si="1"/>
        <v>5.6</v>
      </c>
      <c r="Q16" s="26">
        <f t="shared" si="2"/>
        <v>15.145454545454543</v>
      </c>
    </row>
    <row r="17" spans="1:18" ht="19.5" customHeight="1">
      <c r="A17" s="19">
        <v>13</v>
      </c>
      <c r="B17" s="20" t="s">
        <v>35</v>
      </c>
      <c r="C17" s="21">
        <v>28.78</v>
      </c>
      <c r="D17" s="25">
        <v>30.35</v>
      </c>
      <c r="E17" s="25">
        <v>28.53</v>
      </c>
      <c r="F17" s="25">
        <v>31.31</v>
      </c>
      <c r="G17" s="25">
        <v>29.31</v>
      </c>
      <c r="H17" s="25">
        <v>34.729999999999997</v>
      </c>
      <c r="I17" s="25">
        <v>37.26</v>
      </c>
      <c r="J17" s="25">
        <v>28.29</v>
      </c>
      <c r="K17" s="25">
        <v>30.54</v>
      </c>
      <c r="L17" s="25">
        <v>25.88</v>
      </c>
      <c r="M17" s="25">
        <v>28.59</v>
      </c>
      <c r="N17" s="76">
        <v>47.59</v>
      </c>
      <c r="O17" s="24">
        <f t="shared" si="0"/>
        <v>47.59</v>
      </c>
      <c r="P17" s="25">
        <f t="shared" si="1"/>
        <v>25.88</v>
      </c>
      <c r="Q17" s="26">
        <f t="shared" si="2"/>
        <v>31.763333333333332</v>
      </c>
    </row>
    <row r="18" spans="1:18" ht="19.5" customHeight="1">
      <c r="A18" s="19">
        <v>14</v>
      </c>
      <c r="B18" s="20" t="s">
        <v>36</v>
      </c>
      <c r="C18" s="21" t="s">
        <v>21</v>
      </c>
      <c r="D18" s="25" t="s">
        <v>21</v>
      </c>
      <c r="E18" s="25">
        <v>7.8297177026169864</v>
      </c>
      <c r="F18" s="25" t="s">
        <v>21</v>
      </c>
      <c r="G18" s="25" t="s">
        <v>21</v>
      </c>
      <c r="H18" s="25">
        <v>10.270581197998238</v>
      </c>
      <c r="I18" s="25">
        <v>9.6425509973183061</v>
      </c>
      <c r="J18" s="25">
        <v>11.457698585176587</v>
      </c>
      <c r="K18" s="25">
        <v>10.154376299777486</v>
      </c>
      <c r="L18" s="25">
        <v>8.9892496741664765</v>
      </c>
      <c r="M18" s="25">
        <v>10.1926528577882</v>
      </c>
      <c r="N18" s="76">
        <v>14.476986548886202</v>
      </c>
      <c r="O18" s="24">
        <f t="shared" si="0"/>
        <v>14.476986548886202</v>
      </c>
      <c r="P18" s="25">
        <f t="shared" si="1"/>
        <v>7.8297177026169864</v>
      </c>
      <c r="Q18" s="26">
        <f t="shared" si="2"/>
        <v>10.376726732966061</v>
      </c>
    </row>
    <row r="19" spans="1:18" ht="19.5" customHeight="1">
      <c r="A19" s="19">
        <v>15</v>
      </c>
      <c r="B19" s="20" t="s">
        <v>37</v>
      </c>
      <c r="C19" s="21">
        <v>40.97</v>
      </c>
      <c r="D19" s="25">
        <v>24.35</v>
      </c>
      <c r="E19" s="25">
        <v>13.48</v>
      </c>
      <c r="F19" s="25">
        <v>17.91</v>
      </c>
      <c r="G19" s="25">
        <v>13.65</v>
      </c>
      <c r="H19" s="25">
        <v>20.45</v>
      </c>
      <c r="I19" s="25">
        <v>33.93</v>
      </c>
      <c r="J19" s="25">
        <v>25.99</v>
      </c>
      <c r="K19" s="25">
        <v>38.11</v>
      </c>
      <c r="L19" s="25">
        <v>22.09</v>
      </c>
      <c r="M19" s="25">
        <v>23.43</v>
      </c>
      <c r="N19" s="76">
        <v>35.29</v>
      </c>
      <c r="O19" s="24">
        <f t="shared" si="0"/>
        <v>40.97</v>
      </c>
      <c r="P19" s="25">
        <f t="shared" si="1"/>
        <v>13.48</v>
      </c>
      <c r="Q19" s="26">
        <f t="shared" si="2"/>
        <v>25.804166666666671</v>
      </c>
    </row>
    <row r="20" spans="1:18" ht="19.5" customHeight="1">
      <c r="A20" s="91">
        <v>16</v>
      </c>
      <c r="B20" s="56" t="s">
        <v>38</v>
      </c>
      <c r="C20" s="66">
        <v>48.8</v>
      </c>
      <c r="D20" s="61">
        <v>43.6</v>
      </c>
      <c r="E20" s="61">
        <v>70.900000000000006</v>
      </c>
      <c r="F20" s="61">
        <v>85.4</v>
      </c>
      <c r="G20" s="61">
        <v>55.9</v>
      </c>
      <c r="H20" s="61">
        <v>88.6</v>
      </c>
      <c r="I20" s="61">
        <v>41.4</v>
      </c>
      <c r="J20" s="61">
        <v>22.1</v>
      </c>
      <c r="K20" s="61">
        <v>27.4</v>
      </c>
      <c r="L20" s="61">
        <v>24.5</v>
      </c>
      <c r="M20" s="61">
        <v>24.5</v>
      </c>
      <c r="N20" s="83">
        <v>44.9</v>
      </c>
      <c r="O20" s="60">
        <f t="shared" si="0"/>
        <v>88.6</v>
      </c>
      <c r="P20" s="61">
        <f t="shared" si="1"/>
        <v>22.1</v>
      </c>
      <c r="Q20" s="62">
        <f t="shared" si="2"/>
        <v>48.166666666666664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4.112322025386411</v>
      </c>
      <c r="I21" s="42">
        <v>5.3077916914235397</v>
      </c>
      <c r="J21" s="42">
        <v>15.585667346862859</v>
      </c>
      <c r="K21" s="42">
        <v>16.606900477677446</v>
      </c>
      <c r="L21" s="42">
        <v>13.199024214923462</v>
      </c>
      <c r="M21" s="42">
        <v>15.371187603787392</v>
      </c>
      <c r="N21" s="81">
        <v>48.156410978275659</v>
      </c>
      <c r="O21" s="41">
        <f t="shared" si="0"/>
        <v>48.156410978275659</v>
      </c>
      <c r="P21" s="42">
        <f t="shared" si="1"/>
        <v>4.112322025386411</v>
      </c>
      <c r="Q21" s="43">
        <f t="shared" si="2"/>
        <v>16.905614905476682</v>
      </c>
      <c r="R21" s="64"/>
    </row>
    <row r="22" spans="1:18" ht="19.5" customHeight="1">
      <c r="A22" s="19">
        <v>18</v>
      </c>
      <c r="B22" s="20" t="s">
        <v>40</v>
      </c>
      <c r="C22" s="21">
        <v>130.98481518341396</v>
      </c>
      <c r="D22" s="25">
        <v>88.679522915127421</v>
      </c>
      <c r="E22" s="25">
        <v>31.997963324012737</v>
      </c>
      <c r="F22" s="25">
        <v>37.046607273667306</v>
      </c>
      <c r="G22" s="25">
        <v>53.022355928841471</v>
      </c>
      <c r="H22" s="25">
        <v>78.941088778919109</v>
      </c>
      <c r="I22" s="25">
        <v>107.8230051407787</v>
      </c>
      <c r="J22" s="25">
        <v>115.83431394969146</v>
      </c>
      <c r="K22" s="25">
        <v>162.7733117281484</v>
      </c>
      <c r="L22" s="25">
        <v>147.55837172343331</v>
      </c>
      <c r="M22" s="25">
        <v>148.92529686293599</v>
      </c>
      <c r="N22" s="76">
        <v>166.32792986683671</v>
      </c>
      <c r="O22" s="24">
        <f t="shared" si="0"/>
        <v>166.32792986683671</v>
      </c>
      <c r="P22" s="25">
        <f t="shared" si="1"/>
        <v>31.997963324012737</v>
      </c>
      <c r="Q22" s="26">
        <f t="shared" si="2"/>
        <v>105.82621522298389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59.38</v>
      </c>
      <c r="E23" s="25">
        <v>20.2</v>
      </c>
      <c r="F23" s="25">
        <v>30.099</v>
      </c>
      <c r="G23" s="25">
        <v>27.51</v>
      </c>
      <c r="H23" s="25">
        <v>55.027999999999999</v>
      </c>
      <c r="I23" s="25">
        <v>4.1280000000000001</v>
      </c>
      <c r="J23" s="25">
        <v>39.427700000000002</v>
      </c>
      <c r="K23" s="25">
        <v>14.65</v>
      </c>
      <c r="L23" s="25">
        <v>16.38</v>
      </c>
      <c r="M23" s="25">
        <v>11.69</v>
      </c>
      <c r="N23" s="76">
        <v>13.54</v>
      </c>
      <c r="O23" s="24">
        <f t="shared" si="0"/>
        <v>59.38</v>
      </c>
      <c r="P23" s="25">
        <f t="shared" si="1"/>
        <v>4.1280000000000001</v>
      </c>
      <c r="Q23" s="26">
        <f t="shared" si="2"/>
        <v>26.548427272727277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47.2</v>
      </c>
      <c r="J24" s="25">
        <v>9.3699999999999992</v>
      </c>
      <c r="K24" s="25">
        <v>10.7</v>
      </c>
      <c r="L24" s="25">
        <v>99.1</v>
      </c>
      <c r="M24" s="25">
        <v>65.3</v>
      </c>
      <c r="N24" s="85">
        <v>52.1</v>
      </c>
      <c r="O24" s="24">
        <f t="shared" si="0"/>
        <v>99.1</v>
      </c>
      <c r="P24" s="25">
        <f t="shared" si="1"/>
        <v>9.3699999999999992</v>
      </c>
      <c r="Q24" s="26">
        <f t="shared" si="2"/>
        <v>47.295000000000009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>
        <v>7.35</v>
      </c>
      <c r="K25" s="47">
        <v>5.01</v>
      </c>
      <c r="L25" s="47">
        <v>8.68</v>
      </c>
      <c r="M25" s="47">
        <v>4.22</v>
      </c>
      <c r="N25" s="87">
        <v>11.88</v>
      </c>
      <c r="O25" s="46">
        <f t="shared" si="0"/>
        <v>11.88</v>
      </c>
      <c r="P25" s="47">
        <f t="shared" si="1"/>
        <v>4.22</v>
      </c>
      <c r="Q25" s="48">
        <f t="shared" si="2"/>
        <v>7.4279999999999999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54.39</v>
      </c>
      <c r="D26" s="17">
        <v>41.9</v>
      </c>
      <c r="E26" s="17">
        <v>36.979999999999997</v>
      </c>
      <c r="F26" s="17">
        <v>47.24</v>
      </c>
      <c r="G26" s="17">
        <v>30.69</v>
      </c>
      <c r="H26" s="17">
        <v>29.3</v>
      </c>
      <c r="I26" s="17">
        <v>37.44</v>
      </c>
      <c r="J26" s="17">
        <v>48.17</v>
      </c>
      <c r="K26" s="17">
        <v>37.17</v>
      </c>
      <c r="L26" s="17">
        <v>42.92</v>
      </c>
      <c r="M26" s="17">
        <v>47.63</v>
      </c>
      <c r="N26" s="75">
        <v>67.959999999999994</v>
      </c>
      <c r="O26" s="16">
        <f t="shared" si="0"/>
        <v>67.959999999999994</v>
      </c>
      <c r="P26" s="17">
        <f t="shared" si="1"/>
        <v>29.3</v>
      </c>
      <c r="Q26" s="18">
        <f t="shared" si="2"/>
        <v>43.482500000000009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7.0637156812966531</v>
      </c>
      <c r="G27" s="25">
        <v>12.980161636839615</v>
      </c>
      <c r="H27" s="25">
        <v>9.8204713198571607</v>
      </c>
      <c r="I27" s="25">
        <v>13.290979408941364</v>
      </c>
      <c r="J27" s="25">
        <v>2.7133769092123226</v>
      </c>
      <c r="K27" s="25">
        <v>32.624709262452384</v>
      </c>
      <c r="L27" s="25">
        <v>21.763970254722047</v>
      </c>
      <c r="M27" s="25">
        <v>9.5597038829994965</v>
      </c>
      <c r="N27" s="85">
        <v>8.6509921899967477</v>
      </c>
      <c r="O27" s="24">
        <v>28.577940764038349</v>
      </c>
      <c r="P27" s="25">
        <f t="shared" si="1"/>
        <v>2.7133769092123226</v>
      </c>
      <c r="Q27" s="26">
        <f t="shared" si="2"/>
        <v>13.163120060701976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27.1</v>
      </c>
      <c r="E28" s="25">
        <v>23.4</v>
      </c>
      <c r="F28" s="25">
        <v>41.7</v>
      </c>
      <c r="G28" s="25">
        <v>33.299999999999997</v>
      </c>
      <c r="H28" s="90" t="s">
        <v>21</v>
      </c>
      <c r="I28" s="25">
        <v>35.1</v>
      </c>
      <c r="J28" s="25">
        <v>50.7</v>
      </c>
      <c r="K28" s="25">
        <v>58.5</v>
      </c>
      <c r="L28" s="25" t="s">
        <v>21</v>
      </c>
      <c r="M28" s="25">
        <v>59.4</v>
      </c>
      <c r="N28" s="76" t="s">
        <v>21</v>
      </c>
      <c r="O28" s="24">
        <f t="shared" ref="O28:O29" si="3">MAX(C28:N28)</f>
        <v>59.4</v>
      </c>
      <c r="P28" s="25">
        <f t="shared" si="1"/>
        <v>23.4</v>
      </c>
      <c r="Q28" s="26">
        <f t="shared" si="2"/>
        <v>41.15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58.556856400136297</v>
      </c>
      <c r="I29" s="61">
        <v>16.669165146033805</v>
      </c>
      <c r="J29" s="61">
        <v>16.140331047599556</v>
      </c>
      <c r="K29" s="61">
        <v>18.895997324018989</v>
      </c>
      <c r="L29" s="61">
        <v>12.311642501936316</v>
      </c>
      <c r="M29" s="61">
        <v>26.445368211665372</v>
      </c>
      <c r="N29" s="83">
        <v>73.943708416902965</v>
      </c>
      <c r="O29" s="60">
        <f t="shared" si="3"/>
        <v>73.943708416902965</v>
      </c>
      <c r="P29" s="61">
        <f t="shared" si="1"/>
        <v>12.311642501936316</v>
      </c>
      <c r="Q29" s="62">
        <f t="shared" si="2"/>
        <v>31.851867006899049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66</v>
      </c>
    </row>
    <row r="3" spans="1:18" ht="19.5" customHeight="1">
      <c r="O3" s="5" t="s">
        <v>67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6.03922062741054*0.53</f>
        <v>3.2007869325275862</v>
      </c>
      <c r="D5" s="17">
        <f>3.35844852490018*0.53</f>
        <v>1.7799777181970955</v>
      </c>
      <c r="E5" s="17">
        <f>6.7617116831661*0.53</f>
        <v>3.583707192078033</v>
      </c>
      <c r="F5" s="17">
        <f>11.9574222040125*0.53</f>
        <v>6.3374337681266253</v>
      </c>
      <c r="G5" s="17">
        <f>5.03780896555582*0.53</f>
        <v>2.6700387517445847</v>
      </c>
      <c r="H5" s="17">
        <f>4.30131281053111*0.53</f>
        <v>2.2796957895814884</v>
      </c>
      <c r="I5" s="17">
        <f>3.01652609079335*0.53</f>
        <v>1.5987588281204757</v>
      </c>
      <c r="J5" s="17">
        <f>3.73466183540173*0.53</f>
        <v>1.9793707727629171</v>
      </c>
      <c r="K5" s="17">
        <f>5.70822878424277*0.53</f>
        <v>3.0253612556486686</v>
      </c>
      <c r="L5" s="17">
        <f>6.02792266240188*0.53</f>
        <v>3.1947990110729969</v>
      </c>
      <c r="M5" s="17">
        <f>8.19930226082313*0.53</f>
        <v>4.3456301982362593</v>
      </c>
      <c r="N5" s="75">
        <f>5.40876877889335*0.53</f>
        <v>2.8666474528134755</v>
      </c>
      <c r="O5" s="16">
        <f t="shared" ref="O5:O26" si="0">MAX(C5:N5)</f>
        <v>6.3374337681266253</v>
      </c>
      <c r="P5" s="17">
        <f t="shared" ref="P5:P29" si="1">MIN(C5:N5)</f>
        <v>1.5987588281204757</v>
      </c>
      <c r="Q5" s="18">
        <f t="shared" ref="Q5:Q29" si="2">AVERAGE(C5:N5)</f>
        <v>3.0718506392425176</v>
      </c>
    </row>
    <row r="6" spans="1:18" ht="19.5" customHeight="1">
      <c r="A6" s="27">
        <v>2</v>
      </c>
      <c r="B6" s="20" t="s">
        <v>20</v>
      </c>
      <c r="C6" s="21" t="s">
        <v>21</v>
      </c>
      <c r="D6" s="25">
        <v>2.0099999999999998</v>
      </c>
      <c r="E6" s="25">
        <v>2.11</v>
      </c>
      <c r="F6" s="25">
        <v>3.31</v>
      </c>
      <c r="G6" s="25">
        <v>2.92</v>
      </c>
      <c r="H6" s="25">
        <v>2.4900000000000002</v>
      </c>
      <c r="I6" s="25">
        <v>2.0099999999999998</v>
      </c>
      <c r="J6" s="25">
        <v>4.83</v>
      </c>
      <c r="K6" s="25">
        <v>2.58</v>
      </c>
      <c r="L6" s="25">
        <v>3.82</v>
      </c>
      <c r="M6" s="25">
        <v>4.3600000000000003</v>
      </c>
      <c r="N6" s="76">
        <v>1.35</v>
      </c>
      <c r="O6" s="24">
        <f t="shared" si="0"/>
        <v>4.83</v>
      </c>
      <c r="P6" s="25">
        <f t="shared" si="1"/>
        <v>1.35</v>
      </c>
      <c r="Q6" s="26">
        <f t="shared" si="2"/>
        <v>2.89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1.64</v>
      </c>
      <c r="F7" s="25" t="s">
        <v>21</v>
      </c>
      <c r="G7" s="25">
        <v>3.6</v>
      </c>
      <c r="H7" s="25" t="s">
        <v>21</v>
      </c>
      <c r="I7" s="25">
        <v>4.54</v>
      </c>
      <c r="J7" s="25" t="s">
        <v>21</v>
      </c>
      <c r="K7" s="25" t="s">
        <v>21</v>
      </c>
      <c r="L7" s="25" t="s">
        <v>21</v>
      </c>
      <c r="M7" s="25">
        <v>11.9</v>
      </c>
      <c r="N7" s="76" t="s">
        <v>21</v>
      </c>
      <c r="O7" s="24">
        <f t="shared" si="0"/>
        <v>11.9</v>
      </c>
      <c r="P7" s="25">
        <f t="shared" si="1"/>
        <v>1.64</v>
      </c>
      <c r="Q7" s="26">
        <f t="shared" si="2"/>
        <v>5.42</v>
      </c>
    </row>
    <row r="8" spans="1:18" ht="19.5" customHeight="1">
      <c r="A8" s="19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3.3640640404979201</v>
      </c>
      <c r="G8" s="25">
        <v>2.0847817054516087</v>
      </c>
      <c r="H8" s="25">
        <v>3.8970546401411643</v>
      </c>
      <c r="I8" s="25">
        <v>2.7814182687670312</v>
      </c>
      <c r="J8" s="25">
        <v>3.7759603778835014</v>
      </c>
      <c r="K8" s="25">
        <v>1.7914909061282633</v>
      </c>
      <c r="L8" s="25">
        <v>1.7675303025007818</v>
      </c>
      <c r="M8" s="25">
        <v>1.6772791506577138</v>
      </c>
      <c r="N8" s="76">
        <v>2.3576421388402378</v>
      </c>
      <c r="O8" s="24">
        <f t="shared" si="0"/>
        <v>3.8970546401411643</v>
      </c>
      <c r="P8" s="25">
        <f t="shared" si="1"/>
        <v>1.6772791506577138</v>
      </c>
      <c r="Q8" s="26">
        <f t="shared" si="2"/>
        <v>2.6108023923186909</v>
      </c>
    </row>
    <row r="9" spans="1:18" ht="19.5" customHeight="1">
      <c r="A9" s="28">
        <v>5</v>
      </c>
      <c r="B9" s="29" t="s">
        <v>24</v>
      </c>
      <c r="C9" s="77">
        <v>4.75</v>
      </c>
      <c r="D9" s="35">
        <v>8.4600000000000009</v>
      </c>
      <c r="E9" s="78">
        <v>5.39</v>
      </c>
      <c r="F9" s="35">
        <v>3.69</v>
      </c>
      <c r="G9" s="35">
        <v>5.49</v>
      </c>
      <c r="H9" s="35">
        <v>8.34</v>
      </c>
      <c r="I9" s="78">
        <v>7.58</v>
      </c>
      <c r="J9" s="35">
        <v>7.03</v>
      </c>
      <c r="K9" s="35">
        <v>4.79</v>
      </c>
      <c r="L9" s="35">
        <v>3.59</v>
      </c>
      <c r="M9" s="35">
        <v>4.3899999999999997</v>
      </c>
      <c r="N9" s="79">
        <v>4.9800000000000004</v>
      </c>
      <c r="O9" s="34">
        <f t="shared" si="0"/>
        <v>8.4600000000000009</v>
      </c>
      <c r="P9" s="35">
        <f t="shared" si="1"/>
        <v>3.59</v>
      </c>
      <c r="Q9" s="36">
        <f t="shared" si="2"/>
        <v>5.706666666666667</v>
      </c>
    </row>
    <row r="10" spans="1:18" ht="19.5" customHeight="1">
      <c r="A10" s="37">
        <v>6</v>
      </c>
      <c r="B10" s="38" t="s">
        <v>25</v>
      </c>
      <c r="C10" s="63">
        <v>7.5232696177062373</v>
      </c>
      <c r="D10" s="42">
        <v>10.186031518624642</v>
      </c>
      <c r="E10" s="42">
        <v>23.999537987679673</v>
      </c>
      <c r="F10" s="42">
        <v>8.2650914634146329</v>
      </c>
      <c r="G10" s="42">
        <v>7.1824016736401672</v>
      </c>
      <c r="H10" s="80">
        <v>9.5952028639618145</v>
      </c>
      <c r="I10" s="42">
        <v>6.5665540540540546</v>
      </c>
      <c r="J10" s="42">
        <v>9.7032520325203269</v>
      </c>
      <c r="K10" s="42">
        <v>6.9524271844660195</v>
      </c>
      <c r="L10" s="42">
        <v>7.9379243452958281</v>
      </c>
      <c r="M10" s="42">
        <v>3.5165625</v>
      </c>
      <c r="N10" s="81">
        <v>12.7875</v>
      </c>
      <c r="O10" s="41">
        <f t="shared" si="0"/>
        <v>23.999537987679673</v>
      </c>
      <c r="P10" s="42">
        <f t="shared" si="1"/>
        <v>3.5165625</v>
      </c>
      <c r="Q10" s="43">
        <f t="shared" si="2"/>
        <v>9.5179796034469479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4.76</v>
      </c>
      <c r="F11" s="47">
        <v>5.59</v>
      </c>
      <c r="G11" s="47">
        <v>4.55</v>
      </c>
      <c r="H11" s="47">
        <v>4.42</v>
      </c>
      <c r="I11" s="47">
        <v>6.45</v>
      </c>
      <c r="J11" s="47">
        <v>13.2</v>
      </c>
      <c r="K11" s="47">
        <v>9.82</v>
      </c>
      <c r="L11" s="47">
        <v>13.2</v>
      </c>
      <c r="M11" s="47">
        <v>5.72</v>
      </c>
      <c r="N11" s="82">
        <v>4.68</v>
      </c>
      <c r="O11" s="46">
        <f t="shared" si="0"/>
        <v>13.2</v>
      </c>
      <c r="P11" s="47">
        <f t="shared" si="1"/>
        <v>4.42</v>
      </c>
      <c r="Q11" s="48">
        <f t="shared" si="2"/>
        <v>7.238999999999999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0.18260000000000001</v>
      </c>
      <c r="D12" s="17">
        <v>2.3344999999999998</v>
      </c>
      <c r="E12" s="17">
        <v>0.72409999999999997</v>
      </c>
      <c r="F12" s="17">
        <v>1.7567999999999999</v>
      </c>
      <c r="G12" s="17">
        <v>2.4321000000000002</v>
      </c>
      <c r="H12" s="17">
        <v>2.3029999999999999</v>
      </c>
      <c r="I12" s="17">
        <v>1.7103999999999999</v>
      </c>
      <c r="J12" s="17">
        <v>1.448</v>
      </c>
      <c r="K12" s="17">
        <v>2.4036</v>
      </c>
      <c r="L12" s="17">
        <v>2.2637999999999998</v>
      </c>
      <c r="M12" s="17">
        <v>0.74250000000000005</v>
      </c>
      <c r="N12" s="75">
        <v>2.0339999999999998</v>
      </c>
      <c r="O12" s="16">
        <f t="shared" si="0"/>
        <v>2.4321000000000002</v>
      </c>
      <c r="P12" s="17">
        <f t="shared" si="1"/>
        <v>0.18260000000000001</v>
      </c>
      <c r="Q12" s="18">
        <f t="shared" si="2"/>
        <v>1.6946166666666667</v>
      </c>
    </row>
    <row r="13" spans="1:18" ht="19.5" customHeight="1">
      <c r="A13" s="19">
        <v>9</v>
      </c>
      <c r="B13" s="20" t="s">
        <v>29</v>
      </c>
      <c r="C13" s="21">
        <v>4.84</v>
      </c>
      <c r="D13" s="25">
        <v>11.36</v>
      </c>
      <c r="E13" s="25">
        <v>7.73</v>
      </c>
      <c r="F13" s="25">
        <v>3.06</v>
      </c>
      <c r="G13" s="25">
        <v>3.34</v>
      </c>
      <c r="H13" s="25">
        <v>6.24</v>
      </c>
      <c r="I13" s="25">
        <v>6.12</v>
      </c>
      <c r="J13" s="25">
        <v>5.7</v>
      </c>
      <c r="K13" s="25">
        <v>3.87</v>
      </c>
      <c r="L13" s="25">
        <v>3.53</v>
      </c>
      <c r="M13" s="25">
        <v>2.72</v>
      </c>
      <c r="N13" s="76">
        <v>3.8</v>
      </c>
      <c r="O13" s="24">
        <f t="shared" si="0"/>
        <v>11.36</v>
      </c>
      <c r="P13" s="25">
        <f t="shared" si="1"/>
        <v>2.72</v>
      </c>
      <c r="Q13" s="26">
        <f t="shared" si="2"/>
        <v>5.1924999999999999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4.5804665514647969</v>
      </c>
      <c r="D14" s="25">
        <v>5.0324326078308328</v>
      </c>
      <c r="E14" s="25">
        <v>4.4543400510652456</v>
      </c>
      <c r="F14" s="25">
        <v>6.6250831822518155</v>
      </c>
      <c r="G14" s="25">
        <v>4.8397930515711902</v>
      </c>
      <c r="H14" s="25">
        <v>4.6021555676652151</v>
      </c>
      <c r="I14" s="25">
        <v>11.170643720207572</v>
      </c>
      <c r="J14" s="25">
        <v>7.3094719947704538</v>
      </c>
      <c r="K14" s="25">
        <v>5.9145623509684171</v>
      </c>
      <c r="L14" s="25">
        <v>4.5575092855666268</v>
      </c>
      <c r="M14" s="25">
        <v>4.7257391750614461</v>
      </c>
      <c r="N14" s="76">
        <v>6.9527807389594907</v>
      </c>
      <c r="O14" s="24">
        <f t="shared" si="0"/>
        <v>11.170643720207572</v>
      </c>
      <c r="P14" s="25">
        <f t="shared" si="1"/>
        <v>4.4543400510652456</v>
      </c>
      <c r="Q14" s="26">
        <f t="shared" si="2"/>
        <v>5.8970815231152587</v>
      </c>
    </row>
    <row r="15" spans="1:18" ht="19.5" customHeight="1">
      <c r="A15" s="19">
        <v>11</v>
      </c>
      <c r="B15" s="20" t="s">
        <v>32</v>
      </c>
      <c r="C15" s="21">
        <v>5.4265691695357035</v>
      </c>
      <c r="D15" s="25">
        <v>9.161298904641388</v>
      </c>
      <c r="E15" s="25">
        <v>5.4944128243780535</v>
      </c>
      <c r="F15" s="25">
        <v>5.3975197728104645</v>
      </c>
      <c r="G15" s="25">
        <v>6.1528713125817625</v>
      </c>
      <c r="H15" s="25">
        <v>5.217420304105036</v>
      </c>
      <c r="I15" s="25">
        <v>8.1441251301442943</v>
      </c>
      <c r="J15" s="25">
        <v>6.4029553063537046</v>
      </c>
      <c r="K15" s="25">
        <v>6.5159530122379268</v>
      </c>
      <c r="L15" s="25">
        <v>5.2064482612901823</v>
      </c>
      <c r="M15" s="25">
        <v>4.9268172790062357</v>
      </c>
      <c r="N15" s="76">
        <v>5.111412723678888</v>
      </c>
      <c r="O15" s="24">
        <f t="shared" si="0"/>
        <v>9.161298904641388</v>
      </c>
      <c r="P15" s="25">
        <f t="shared" si="1"/>
        <v>4.9268172790062357</v>
      </c>
      <c r="Q15" s="26">
        <f t="shared" si="2"/>
        <v>6.0964836667303031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1.8</v>
      </c>
      <c r="D16" s="25">
        <v>20.100000000000001</v>
      </c>
      <c r="E16" s="25">
        <v>11.8</v>
      </c>
      <c r="F16" s="25">
        <v>6.1</v>
      </c>
      <c r="G16" s="25">
        <v>6.8</v>
      </c>
      <c r="H16" s="25">
        <v>10</v>
      </c>
      <c r="I16" s="25">
        <v>1.6</v>
      </c>
      <c r="J16" s="25">
        <v>0.9</v>
      </c>
      <c r="K16" s="25">
        <v>3.4</v>
      </c>
      <c r="L16" s="25">
        <v>1.7</v>
      </c>
      <c r="M16" s="25">
        <v>2.9</v>
      </c>
      <c r="N16" s="76">
        <v>5.0999999999999996</v>
      </c>
      <c r="O16" s="24">
        <f t="shared" si="0"/>
        <v>20.100000000000001</v>
      </c>
      <c r="P16" s="25">
        <f t="shared" si="1"/>
        <v>0.9</v>
      </c>
      <c r="Q16" s="26">
        <f t="shared" si="2"/>
        <v>6.0166666666666666</v>
      </c>
    </row>
    <row r="17" spans="1:18" ht="19.5" customHeight="1">
      <c r="A17" s="19">
        <v>13</v>
      </c>
      <c r="B17" s="20" t="s">
        <v>35</v>
      </c>
      <c r="C17" s="21">
        <v>3.29</v>
      </c>
      <c r="D17" s="25">
        <v>7.42</v>
      </c>
      <c r="E17" s="25">
        <v>3.54</v>
      </c>
      <c r="F17" s="25">
        <v>4.09</v>
      </c>
      <c r="G17" s="25">
        <v>4.1399999999999997</v>
      </c>
      <c r="H17" s="25">
        <v>5.21</v>
      </c>
      <c r="I17" s="25">
        <v>4.3600000000000003</v>
      </c>
      <c r="J17" s="25">
        <v>5.24</v>
      </c>
      <c r="K17" s="25">
        <v>4.3499999999999996</v>
      </c>
      <c r="L17" s="25">
        <v>2.68</v>
      </c>
      <c r="M17" s="25">
        <v>3.18</v>
      </c>
      <c r="N17" s="76">
        <v>4.78</v>
      </c>
      <c r="O17" s="24">
        <f t="shared" si="0"/>
        <v>7.42</v>
      </c>
      <c r="P17" s="25">
        <f t="shared" si="1"/>
        <v>2.68</v>
      </c>
      <c r="Q17" s="26">
        <f t="shared" si="2"/>
        <v>4.3566666666666674</v>
      </c>
    </row>
    <row r="18" spans="1:18" ht="19.5" customHeight="1">
      <c r="A18" s="19">
        <v>14</v>
      </c>
      <c r="B18" s="20" t="s">
        <v>36</v>
      </c>
      <c r="C18" s="21" t="s">
        <v>21</v>
      </c>
      <c r="D18" s="25" t="s">
        <v>21</v>
      </c>
      <c r="E18" s="25">
        <v>1.4802904481606225</v>
      </c>
      <c r="F18" s="25" t="s">
        <v>21</v>
      </c>
      <c r="G18" s="25" t="s">
        <v>21</v>
      </c>
      <c r="H18" s="25">
        <v>2.8626663535347472</v>
      </c>
      <c r="I18" s="25">
        <v>2.2242569314171252</v>
      </c>
      <c r="J18" s="25">
        <v>4.0166237482842382</v>
      </c>
      <c r="K18" s="25">
        <v>4.5743792526881091</v>
      </c>
      <c r="L18" s="25">
        <v>2.5487516896519113</v>
      </c>
      <c r="M18" s="25">
        <v>3.0421616604073711</v>
      </c>
      <c r="N18" s="76">
        <v>3.7932898199544254</v>
      </c>
      <c r="O18" s="24">
        <f t="shared" si="0"/>
        <v>4.5743792526881091</v>
      </c>
      <c r="P18" s="25">
        <f t="shared" si="1"/>
        <v>1.4802904481606225</v>
      </c>
      <c r="Q18" s="26">
        <f t="shared" si="2"/>
        <v>3.0678024880123185</v>
      </c>
    </row>
    <row r="19" spans="1:18" ht="19.5" customHeight="1">
      <c r="A19" s="19">
        <v>15</v>
      </c>
      <c r="B19" s="20" t="s">
        <v>37</v>
      </c>
      <c r="C19" s="21">
        <v>5.32</v>
      </c>
      <c r="D19" s="25">
        <v>6.32</v>
      </c>
      <c r="E19" s="25">
        <v>2.59</v>
      </c>
      <c r="F19" s="25">
        <v>3.05</v>
      </c>
      <c r="G19" s="25">
        <v>3.85</v>
      </c>
      <c r="H19" s="25">
        <v>4.53</v>
      </c>
      <c r="I19" s="25">
        <v>5.61</v>
      </c>
      <c r="J19" s="25">
        <v>6.18</v>
      </c>
      <c r="K19" s="25">
        <v>8.5</v>
      </c>
      <c r="L19" s="25">
        <v>4.5999999999999996</v>
      </c>
      <c r="M19" s="25">
        <v>5.21</v>
      </c>
      <c r="N19" s="76">
        <v>5.74</v>
      </c>
      <c r="O19" s="24">
        <f t="shared" si="0"/>
        <v>8.5</v>
      </c>
      <c r="P19" s="25">
        <f t="shared" si="1"/>
        <v>2.59</v>
      </c>
      <c r="Q19" s="26">
        <f t="shared" si="2"/>
        <v>5.1250000000000009</v>
      </c>
    </row>
    <row r="20" spans="1:18" ht="19.5" customHeight="1">
      <c r="A20" s="91">
        <v>16</v>
      </c>
      <c r="B20" s="56" t="s">
        <v>38</v>
      </c>
      <c r="C20" s="66">
        <v>9.9</v>
      </c>
      <c r="D20" s="61">
        <v>12.6</v>
      </c>
      <c r="E20" s="61">
        <v>9.1999999999999993</v>
      </c>
      <c r="F20" s="61">
        <v>9.9</v>
      </c>
      <c r="G20" s="61">
        <v>8.6</v>
      </c>
      <c r="H20" s="61">
        <v>6.7</v>
      </c>
      <c r="I20" s="61">
        <v>5.0999999999999996</v>
      </c>
      <c r="J20" s="61">
        <v>4.7</v>
      </c>
      <c r="K20" s="61">
        <v>5.6</v>
      </c>
      <c r="L20" s="61">
        <v>4.5</v>
      </c>
      <c r="M20" s="61">
        <v>5.3</v>
      </c>
      <c r="N20" s="83">
        <v>6</v>
      </c>
      <c r="O20" s="60">
        <f t="shared" si="0"/>
        <v>12.6</v>
      </c>
      <c r="P20" s="61">
        <f t="shared" si="1"/>
        <v>4.5</v>
      </c>
      <c r="Q20" s="62">
        <f t="shared" si="2"/>
        <v>7.3416666666666659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0.88876190059330917</v>
      </c>
      <c r="I21" s="42">
        <v>0</v>
      </c>
      <c r="J21" s="42">
        <v>1.9293415243166869</v>
      </c>
      <c r="K21" s="42">
        <v>2.0203153057190453</v>
      </c>
      <c r="L21" s="42">
        <v>1.7785684820155867</v>
      </c>
      <c r="M21" s="42">
        <v>1.9771189711372199</v>
      </c>
      <c r="N21" s="81">
        <v>5.7452691054461358</v>
      </c>
      <c r="O21" s="41">
        <f t="shared" si="0"/>
        <v>5.7452691054461358</v>
      </c>
      <c r="P21" s="42">
        <f t="shared" si="1"/>
        <v>0</v>
      </c>
      <c r="Q21" s="43">
        <f t="shared" si="2"/>
        <v>2.0484821841754259</v>
      </c>
      <c r="R21" s="64"/>
    </row>
    <row r="22" spans="1:18" ht="19.5" customHeight="1">
      <c r="A22" s="19">
        <v>18</v>
      </c>
      <c r="B22" s="20" t="s">
        <v>40</v>
      </c>
      <c r="C22" s="21">
        <v>8.154197070580075</v>
      </c>
      <c r="D22" s="25">
        <v>14.038162131351031</v>
      </c>
      <c r="E22" s="25">
        <v>6.2038576008876687</v>
      </c>
      <c r="F22" s="25">
        <v>4.6193172434166136</v>
      </c>
      <c r="G22" s="25">
        <v>6.8770721536260666</v>
      </c>
      <c r="H22" s="25">
        <v>7.2162179960785942</v>
      </c>
      <c r="I22" s="25">
        <v>8.8108013920447998</v>
      </c>
      <c r="J22" s="25">
        <v>7.7803750938615064</v>
      </c>
      <c r="K22" s="25">
        <v>9.3379290475829002</v>
      </c>
      <c r="L22" s="25">
        <v>14.542729184679668</v>
      </c>
      <c r="M22" s="25">
        <v>8.5873197334076359</v>
      </c>
      <c r="N22" s="76">
        <v>13.04639827571698</v>
      </c>
      <c r="O22" s="24">
        <f t="shared" si="0"/>
        <v>14.542729184679668</v>
      </c>
      <c r="P22" s="25">
        <f t="shared" si="1"/>
        <v>4.6193172434166136</v>
      </c>
      <c r="Q22" s="26">
        <f t="shared" si="2"/>
        <v>9.1011980769361287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1.78</v>
      </c>
      <c r="E23" s="25">
        <v>0.89</v>
      </c>
      <c r="F23" s="25">
        <v>0.61199999999999999</v>
      </c>
      <c r="G23" s="25">
        <v>0.57999999999999996</v>
      </c>
      <c r="H23" s="25">
        <v>0.59399999999999997</v>
      </c>
      <c r="I23" s="25">
        <v>0</v>
      </c>
      <c r="J23" s="25">
        <v>0.51</v>
      </c>
      <c r="K23" s="25">
        <v>0.38</v>
      </c>
      <c r="L23" s="25">
        <v>0.17</v>
      </c>
      <c r="M23" s="25">
        <v>0.51</v>
      </c>
      <c r="N23" s="76">
        <v>1.24</v>
      </c>
      <c r="O23" s="24">
        <f t="shared" si="0"/>
        <v>1.78</v>
      </c>
      <c r="P23" s="25">
        <f t="shared" si="1"/>
        <v>0</v>
      </c>
      <c r="Q23" s="26">
        <f t="shared" si="2"/>
        <v>0.66054545454545455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7.24</v>
      </c>
      <c r="J24" s="25">
        <v>2.1800000000000002</v>
      </c>
      <c r="K24" s="25">
        <v>2.36</v>
      </c>
      <c r="L24" s="25">
        <v>21.7</v>
      </c>
      <c r="M24" s="25">
        <v>8.0299999999999994</v>
      </c>
      <c r="N24" s="85">
        <v>14.2</v>
      </c>
      <c r="O24" s="24">
        <f t="shared" si="0"/>
        <v>21.7</v>
      </c>
      <c r="P24" s="25">
        <f t="shared" si="1"/>
        <v>2.1800000000000002</v>
      </c>
      <c r="Q24" s="26">
        <f t="shared" si="2"/>
        <v>9.2849999999999984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>
        <v>0.66</v>
      </c>
      <c r="K25" s="47">
        <v>0.44</v>
      </c>
      <c r="L25" s="47">
        <v>0.24</v>
      </c>
      <c r="M25" s="47">
        <v>0.26</v>
      </c>
      <c r="N25" s="87">
        <v>2.59</v>
      </c>
      <c r="O25" s="46">
        <f t="shared" si="0"/>
        <v>2.59</v>
      </c>
      <c r="P25" s="47">
        <f t="shared" si="1"/>
        <v>0.24</v>
      </c>
      <c r="Q25" s="48">
        <f t="shared" si="2"/>
        <v>0.83799999999999986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7.06</v>
      </c>
      <c r="D26" s="17">
        <v>13.7</v>
      </c>
      <c r="E26" s="17">
        <v>12.23</v>
      </c>
      <c r="F26" s="17">
        <v>8.81</v>
      </c>
      <c r="G26" s="17">
        <v>6.03</v>
      </c>
      <c r="H26" s="17">
        <v>6.86</v>
      </c>
      <c r="I26" s="17">
        <v>9.07</v>
      </c>
      <c r="J26" s="17">
        <v>10.1</v>
      </c>
      <c r="K26" s="17">
        <v>9.7799999999999994</v>
      </c>
      <c r="L26" s="17">
        <v>6.64</v>
      </c>
      <c r="M26" s="17">
        <v>6.99</v>
      </c>
      <c r="N26" s="75">
        <v>9.9</v>
      </c>
      <c r="O26" s="16">
        <f t="shared" si="0"/>
        <v>13.7</v>
      </c>
      <c r="P26" s="17">
        <f t="shared" si="1"/>
        <v>6.03</v>
      </c>
      <c r="Q26" s="18">
        <f t="shared" si="2"/>
        <v>8.9308333333333341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1.36</v>
      </c>
      <c r="G27" s="25">
        <v>1.000589235689495</v>
      </c>
      <c r="H27" s="25">
        <v>1.4222893444223881</v>
      </c>
      <c r="I27" s="25">
        <v>5.4385568967255828</v>
      </c>
      <c r="J27" s="25">
        <v>0.94835925872588656</v>
      </c>
      <c r="K27" s="25">
        <v>8.3867313055574044</v>
      </c>
      <c r="L27" s="25">
        <v>5.038462757121593</v>
      </c>
      <c r="M27" s="25">
        <v>0.62225320748106516</v>
      </c>
      <c r="N27" s="85">
        <v>4.1704720477493904</v>
      </c>
      <c r="O27" s="24">
        <v>3.6690937981344436</v>
      </c>
      <c r="P27" s="25">
        <f t="shared" si="1"/>
        <v>0.62225320748106516</v>
      </c>
      <c r="Q27" s="26">
        <f t="shared" si="2"/>
        <v>3.1541904503858671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10.6</v>
      </c>
      <c r="E28" s="25">
        <v>3.1</v>
      </c>
      <c r="F28" s="25">
        <v>2.9</v>
      </c>
      <c r="G28" s="25">
        <v>4.3</v>
      </c>
      <c r="H28" s="90" t="s">
        <v>21</v>
      </c>
      <c r="I28" s="25">
        <v>6.2</v>
      </c>
      <c r="J28" s="25">
        <v>6.6</v>
      </c>
      <c r="K28" s="25">
        <v>11.3</v>
      </c>
      <c r="L28" s="25" t="s">
        <v>21</v>
      </c>
      <c r="M28" s="25">
        <v>10.3</v>
      </c>
      <c r="N28" s="76" t="s">
        <v>21</v>
      </c>
      <c r="O28" s="24">
        <f t="shared" ref="O28:O29" si="3">MAX(C28:N28)</f>
        <v>11.3</v>
      </c>
      <c r="P28" s="25">
        <f t="shared" si="1"/>
        <v>2.9</v>
      </c>
      <c r="Q28" s="26">
        <f t="shared" si="2"/>
        <v>6.9124999999999996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3.8096725021960172</v>
      </c>
      <c r="I29" s="61">
        <v>1.2996319026569467</v>
      </c>
      <c r="J29" s="61">
        <v>1.2537625413867015</v>
      </c>
      <c r="K29" s="61">
        <v>1.4678195606478457</v>
      </c>
      <c r="L29" s="61">
        <v>0.77388066094670838</v>
      </c>
      <c r="M29" s="61">
        <v>2.0218779323548386</v>
      </c>
      <c r="N29" s="83">
        <v>7.1251934809319426</v>
      </c>
      <c r="O29" s="60">
        <f t="shared" si="3"/>
        <v>7.1251934809319426</v>
      </c>
      <c r="P29" s="61">
        <f t="shared" si="1"/>
        <v>0.77388066094670838</v>
      </c>
      <c r="Q29" s="62">
        <f t="shared" si="2"/>
        <v>2.5359769401601429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3"/>
      <c r="B2" s="4" t="s">
        <v>68</v>
      </c>
    </row>
    <row r="3" spans="1:18" ht="19.5" customHeight="1">
      <c r="O3" s="5" t="s">
        <v>69</v>
      </c>
    </row>
    <row r="4" spans="1:18" ht="19.5" customHeight="1">
      <c r="A4" s="6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10" t="s">
        <v>15</v>
      </c>
      <c r="O4" s="6" t="s">
        <v>16</v>
      </c>
      <c r="P4" s="9" t="s">
        <v>17</v>
      </c>
      <c r="Q4" s="7" t="s">
        <v>18</v>
      </c>
    </row>
    <row r="5" spans="1:18" ht="19.5" customHeight="1">
      <c r="A5" s="11">
        <v>1</v>
      </c>
      <c r="B5" s="12" t="s">
        <v>19</v>
      </c>
      <c r="C5" s="74">
        <f>3.71091727741117*0.53</f>
        <v>1.9667861570279201</v>
      </c>
      <c r="D5" s="17">
        <f>1.03981619611949*0.53</f>
        <v>0.55110258394332978</v>
      </c>
      <c r="E5" s="17">
        <f>3.51763137704159*0.53</f>
        <v>1.864344629832043</v>
      </c>
      <c r="F5" s="17">
        <f>1.54685488601782*0.53</f>
        <v>0.81983308958944456</v>
      </c>
      <c r="G5" s="17">
        <f>1.70156485836375*0.53</f>
        <v>0.90182937493278748</v>
      </c>
      <c r="H5" s="17">
        <f>2.20597973461593*0.53</f>
        <v>1.1691692593464429</v>
      </c>
      <c r="I5" s="17">
        <f>1.99984043125095*0.53</f>
        <v>1.0599154285630035</v>
      </c>
      <c r="J5" s="17">
        <f>1.98279554849841*0.53</f>
        <v>1.0508816407041575</v>
      </c>
      <c r="K5" s="17">
        <f>5.11247273927605*0.53</f>
        <v>2.7096105518163065</v>
      </c>
      <c r="L5" s="17">
        <f>4.45106966556658*0.53</f>
        <v>2.3590669227502876</v>
      </c>
      <c r="M5" s="17">
        <f>10.0624364414993*0.53</f>
        <v>5.333091313994629</v>
      </c>
      <c r="N5" s="75">
        <f>8.06659102322896*0.53</f>
        <v>4.2752932423113492</v>
      </c>
      <c r="O5" s="16">
        <f t="shared" ref="O5:O26" si="0">MAX(C5:N5)</f>
        <v>5.333091313994629</v>
      </c>
      <c r="P5" s="17">
        <f t="shared" ref="P5:P29" si="1">MIN(C5:N5)</f>
        <v>0.55110258394332978</v>
      </c>
      <c r="Q5" s="18">
        <f t="shared" ref="Q5:Q29" si="2">AVERAGE(C5:N5)</f>
        <v>2.0050770162343081</v>
      </c>
    </row>
    <row r="6" spans="1:18" ht="19.5" customHeight="1">
      <c r="A6" s="27">
        <v>2</v>
      </c>
      <c r="B6" s="20" t="s">
        <v>20</v>
      </c>
      <c r="C6" s="21" t="s">
        <v>21</v>
      </c>
      <c r="D6" s="25">
        <v>2.74</v>
      </c>
      <c r="E6" s="25">
        <v>2.13</v>
      </c>
      <c r="F6" s="25">
        <v>2.74</v>
      </c>
      <c r="G6" s="25">
        <v>1.54</v>
      </c>
      <c r="H6" s="25">
        <v>1.59</v>
      </c>
      <c r="I6" s="25">
        <v>2.98</v>
      </c>
      <c r="J6" s="25">
        <v>3.45</v>
      </c>
      <c r="K6" s="25">
        <v>2.5099999999999998</v>
      </c>
      <c r="L6" s="25">
        <v>1.89</v>
      </c>
      <c r="M6" s="25">
        <v>3.17</v>
      </c>
      <c r="N6" s="76">
        <v>2.27</v>
      </c>
      <c r="O6" s="24">
        <f t="shared" si="0"/>
        <v>3.45</v>
      </c>
      <c r="P6" s="25">
        <f t="shared" si="1"/>
        <v>1.54</v>
      </c>
      <c r="Q6" s="26">
        <f t="shared" si="2"/>
        <v>2.4554545454545456</v>
      </c>
    </row>
    <row r="7" spans="1:18" ht="19.5" customHeight="1">
      <c r="A7" s="27">
        <v>3</v>
      </c>
      <c r="B7" s="20" t="s">
        <v>22</v>
      </c>
      <c r="C7" s="21" t="s">
        <v>21</v>
      </c>
      <c r="D7" s="25" t="s">
        <v>21</v>
      </c>
      <c r="E7" s="25">
        <v>0.18</v>
      </c>
      <c r="F7" s="25" t="s">
        <v>21</v>
      </c>
      <c r="G7" s="25">
        <v>3.12</v>
      </c>
      <c r="H7" s="25" t="s">
        <v>21</v>
      </c>
      <c r="I7" s="25">
        <v>6.29</v>
      </c>
      <c r="J7" s="25" t="s">
        <v>21</v>
      </c>
      <c r="K7" s="25" t="s">
        <v>21</v>
      </c>
      <c r="L7" s="25" t="s">
        <v>21</v>
      </c>
      <c r="M7" s="25">
        <v>14.9</v>
      </c>
      <c r="N7" s="76" t="s">
        <v>21</v>
      </c>
      <c r="O7" s="24">
        <f t="shared" si="0"/>
        <v>14.9</v>
      </c>
      <c r="P7" s="25">
        <f t="shared" si="1"/>
        <v>0.18</v>
      </c>
      <c r="Q7" s="26">
        <f t="shared" si="2"/>
        <v>6.1225000000000005</v>
      </c>
    </row>
    <row r="8" spans="1:18" ht="19.5" customHeight="1">
      <c r="A8" s="19">
        <v>4</v>
      </c>
      <c r="B8" s="20" t="s">
        <v>23</v>
      </c>
      <c r="C8" s="21" t="s">
        <v>21</v>
      </c>
      <c r="D8" s="25" t="s">
        <v>21</v>
      </c>
      <c r="E8" s="25" t="s">
        <v>21</v>
      </c>
      <c r="F8" s="25">
        <v>2.7800261672437108</v>
      </c>
      <c r="G8" s="25">
        <v>2.0686700180403803</v>
      </c>
      <c r="H8" s="25">
        <v>2.9188333924782981</v>
      </c>
      <c r="I8" s="25">
        <v>3.4404693174370626</v>
      </c>
      <c r="J8" s="25">
        <v>4.6805076186080159</v>
      </c>
      <c r="K8" s="25">
        <v>3.2994153455329513</v>
      </c>
      <c r="L8" s="25">
        <v>2.9764101162831098</v>
      </c>
      <c r="M8" s="25">
        <v>4.2835683684510686</v>
      </c>
      <c r="N8" s="76">
        <v>6.4162533086370157</v>
      </c>
      <c r="O8" s="24">
        <f t="shared" si="0"/>
        <v>6.4162533086370157</v>
      </c>
      <c r="P8" s="25">
        <f t="shared" si="1"/>
        <v>2.0686700180403803</v>
      </c>
      <c r="Q8" s="26">
        <f t="shared" si="2"/>
        <v>3.6515726280790681</v>
      </c>
    </row>
    <row r="9" spans="1:18" ht="19.5" customHeight="1">
      <c r="A9" s="28">
        <v>5</v>
      </c>
      <c r="B9" s="29" t="s">
        <v>24</v>
      </c>
      <c r="C9" s="77">
        <v>9.1999999999999993</v>
      </c>
      <c r="D9" s="35">
        <v>8.59</v>
      </c>
      <c r="E9" s="78">
        <v>3.57</v>
      </c>
      <c r="F9" s="35">
        <v>2.2799999999999998</v>
      </c>
      <c r="G9" s="35">
        <v>2.2799999999999998</v>
      </c>
      <c r="H9" s="35">
        <v>3.71</v>
      </c>
      <c r="I9" s="78">
        <v>5.03</v>
      </c>
      <c r="J9" s="35">
        <v>3.27</v>
      </c>
      <c r="K9" s="35">
        <v>2.83</v>
      </c>
      <c r="L9" s="35">
        <v>1.79</v>
      </c>
      <c r="M9" s="35">
        <v>2.5299999999999998</v>
      </c>
      <c r="N9" s="79">
        <v>5.52</v>
      </c>
      <c r="O9" s="34">
        <f t="shared" si="0"/>
        <v>9.1999999999999993</v>
      </c>
      <c r="P9" s="35">
        <f t="shared" si="1"/>
        <v>1.79</v>
      </c>
      <c r="Q9" s="36">
        <f t="shared" si="2"/>
        <v>4.2166666666666677</v>
      </c>
    </row>
    <row r="10" spans="1:18" ht="19.5" customHeight="1">
      <c r="A10" s="37">
        <v>6</v>
      </c>
      <c r="B10" s="38" t="s">
        <v>25</v>
      </c>
      <c r="C10" s="63">
        <v>10.010120724346077</v>
      </c>
      <c r="D10" s="42">
        <v>12.982578796561604</v>
      </c>
      <c r="E10" s="42">
        <v>10.891930184804925</v>
      </c>
      <c r="F10" s="42">
        <v>7.839979674796747</v>
      </c>
      <c r="G10" s="42">
        <v>9.0362845188284524</v>
      </c>
      <c r="H10" s="80">
        <v>12.492863961813843</v>
      </c>
      <c r="I10" s="42">
        <v>20.791666666666668</v>
      </c>
      <c r="J10" s="42">
        <v>23.800542005420056</v>
      </c>
      <c r="K10" s="42">
        <v>19.916936353829556</v>
      </c>
      <c r="L10" s="42">
        <v>20.327837051406402</v>
      </c>
      <c r="M10" s="42">
        <v>21.987187500000001</v>
      </c>
      <c r="N10" s="81">
        <v>15.51768292682927</v>
      </c>
      <c r="O10" s="41">
        <f t="shared" si="0"/>
        <v>23.800542005420056</v>
      </c>
      <c r="P10" s="42">
        <f t="shared" si="1"/>
        <v>7.839979674796747</v>
      </c>
      <c r="Q10" s="43">
        <f t="shared" si="2"/>
        <v>15.466300863775301</v>
      </c>
    </row>
    <row r="11" spans="1:18" ht="19.5" customHeight="1">
      <c r="A11" s="44">
        <v>7</v>
      </c>
      <c r="B11" s="45" t="s">
        <v>26</v>
      </c>
      <c r="C11" s="88" t="s">
        <v>21</v>
      </c>
      <c r="D11" s="47" t="s">
        <v>21</v>
      </c>
      <c r="E11" s="47">
        <v>8.9499999999999993</v>
      </c>
      <c r="F11" s="47">
        <v>7.44</v>
      </c>
      <c r="G11" s="47">
        <v>5.91</v>
      </c>
      <c r="H11" s="47">
        <v>4.1399999999999997</v>
      </c>
      <c r="I11" s="47">
        <v>8.6300000000000008</v>
      </c>
      <c r="J11" s="47">
        <v>21.6</v>
      </c>
      <c r="K11" s="47">
        <v>15</v>
      </c>
      <c r="L11" s="47">
        <v>21.69</v>
      </c>
      <c r="M11" s="47">
        <v>14.3</v>
      </c>
      <c r="N11" s="82">
        <v>10.6</v>
      </c>
      <c r="O11" s="46">
        <f t="shared" si="0"/>
        <v>21.69</v>
      </c>
      <c r="P11" s="47">
        <f t="shared" si="1"/>
        <v>4.1399999999999997</v>
      </c>
      <c r="Q11" s="48">
        <f t="shared" si="2"/>
        <v>11.825999999999999</v>
      </c>
      <c r="R11" s="49" t="s">
        <v>27</v>
      </c>
    </row>
    <row r="12" spans="1:18" ht="19.5" customHeight="1">
      <c r="A12" s="50">
        <v>8</v>
      </c>
      <c r="B12" s="12" t="s">
        <v>28</v>
      </c>
      <c r="C12" s="74">
        <v>0</v>
      </c>
      <c r="D12" s="17">
        <v>2.0175999999999998</v>
      </c>
      <c r="E12" s="17">
        <v>0.1123</v>
      </c>
      <c r="F12" s="17">
        <v>9.0700000000000003E-2</v>
      </c>
      <c r="G12" s="17">
        <v>2.2825000000000002</v>
      </c>
      <c r="H12" s="17">
        <v>1.9355</v>
      </c>
      <c r="I12" s="17">
        <v>1.8472999999999999</v>
      </c>
      <c r="J12" s="17">
        <v>0.99160000000000004</v>
      </c>
      <c r="K12" s="17">
        <v>2.4759000000000002</v>
      </c>
      <c r="L12" s="17">
        <v>2.1331000000000002</v>
      </c>
      <c r="M12" s="17">
        <v>1.4125000000000001</v>
      </c>
      <c r="N12" s="75">
        <v>2.7904</v>
      </c>
      <c r="O12" s="16">
        <f t="shared" si="0"/>
        <v>2.7904</v>
      </c>
      <c r="P12" s="17">
        <f t="shared" si="1"/>
        <v>0</v>
      </c>
      <c r="Q12" s="18">
        <f t="shared" si="2"/>
        <v>1.5074499999999997</v>
      </c>
    </row>
    <row r="13" spans="1:18" ht="19.5" customHeight="1">
      <c r="A13" s="19">
        <v>9</v>
      </c>
      <c r="B13" s="20" t="s">
        <v>29</v>
      </c>
      <c r="C13" s="21">
        <v>7.41</v>
      </c>
      <c r="D13" s="25">
        <v>9.67</v>
      </c>
      <c r="E13" s="25">
        <v>5</v>
      </c>
      <c r="F13" s="25">
        <v>4.59</v>
      </c>
      <c r="G13" s="25">
        <v>3.98</v>
      </c>
      <c r="H13" s="25">
        <v>4.93</v>
      </c>
      <c r="I13" s="25">
        <v>6.26</v>
      </c>
      <c r="J13" s="25">
        <v>8.41</v>
      </c>
      <c r="K13" s="25">
        <v>28.95</v>
      </c>
      <c r="L13" s="25">
        <v>5.13</v>
      </c>
      <c r="M13" s="25">
        <v>4.6100000000000003</v>
      </c>
      <c r="N13" s="76">
        <v>11.75</v>
      </c>
      <c r="O13" s="24">
        <f t="shared" si="0"/>
        <v>28.95</v>
      </c>
      <c r="P13" s="25">
        <f t="shared" si="1"/>
        <v>3.98</v>
      </c>
      <c r="Q13" s="26">
        <f t="shared" si="2"/>
        <v>8.3908333333333331</v>
      </c>
      <c r="R13" s="53" t="s">
        <v>30</v>
      </c>
    </row>
    <row r="14" spans="1:18" ht="19.5" customHeight="1">
      <c r="A14" s="19">
        <v>10</v>
      </c>
      <c r="B14" s="20" t="s">
        <v>31</v>
      </c>
      <c r="C14" s="21">
        <v>13.086447062063449</v>
      </c>
      <c r="D14" s="25">
        <v>13.916850668569216</v>
      </c>
      <c r="E14" s="25">
        <v>9.8985334468116566</v>
      </c>
      <c r="F14" s="25">
        <v>7.4296798477966099</v>
      </c>
      <c r="G14" s="25">
        <v>7.4993166206910615</v>
      </c>
      <c r="H14" s="25">
        <v>8.8966821887588416</v>
      </c>
      <c r="I14" s="25">
        <v>13.110456102758587</v>
      </c>
      <c r="J14" s="25">
        <v>12.642927248896898</v>
      </c>
      <c r="K14" s="25">
        <v>14.582308894143086</v>
      </c>
      <c r="L14" s="25">
        <v>13.02449622907673</v>
      </c>
      <c r="M14" s="25">
        <v>13.899488467488634</v>
      </c>
      <c r="N14" s="76">
        <v>25.936895104466274</v>
      </c>
      <c r="O14" s="24">
        <f t="shared" si="0"/>
        <v>25.936895104466274</v>
      </c>
      <c r="P14" s="25">
        <f t="shared" si="1"/>
        <v>7.4296798477966099</v>
      </c>
      <c r="Q14" s="26">
        <f t="shared" si="2"/>
        <v>12.827006823460087</v>
      </c>
    </row>
    <row r="15" spans="1:18" ht="19.5" customHeight="1">
      <c r="A15" s="19">
        <v>11</v>
      </c>
      <c r="B15" s="20" t="s">
        <v>32</v>
      </c>
      <c r="C15" s="21">
        <v>10.043659459941441</v>
      </c>
      <c r="D15" s="25">
        <v>11.422664130990672</v>
      </c>
      <c r="E15" s="25">
        <v>7.0572919627208455</v>
      </c>
      <c r="F15" s="25">
        <v>6.8056377224951161</v>
      </c>
      <c r="G15" s="25">
        <v>5.4428755464951699</v>
      </c>
      <c r="H15" s="25">
        <v>5.83437698134935</v>
      </c>
      <c r="I15" s="25">
        <v>9.0830774001565455</v>
      </c>
      <c r="J15" s="25">
        <v>6.1969900557495157</v>
      </c>
      <c r="K15" s="25">
        <v>7.8367469950189816</v>
      </c>
      <c r="L15" s="25">
        <v>7.8428100188419494</v>
      </c>
      <c r="M15" s="25">
        <v>9.1404303764477746</v>
      </c>
      <c r="N15" s="76">
        <v>12.751506082664337</v>
      </c>
      <c r="O15" s="24">
        <f t="shared" si="0"/>
        <v>12.751506082664337</v>
      </c>
      <c r="P15" s="25">
        <f t="shared" si="1"/>
        <v>5.4428755464951699</v>
      </c>
      <c r="Q15" s="26">
        <f t="shared" si="2"/>
        <v>8.2881722277393077</v>
      </c>
      <c r="R15" s="53" t="s">
        <v>33</v>
      </c>
    </row>
    <row r="16" spans="1:18" ht="19.5" customHeight="1">
      <c r="A16" s="19">
        <v>12</v>
      </c>
      <c r="B16" s="20" t="s">
        <v>34</v>
      </c>
      <c r="C16" s="21">
        <v>4.8</v>
      </c>
      <c r="D16" s="25">
        <v>3.2</v>
      </c>
      <c r="E16" s="25">
        <v>4.9000000000000004</v>
      </c>
      <c r="F16" s="25">
        <v>2.1</v>
      </c>
      <c r="G16" s="25">
        <v>2.4</v>
      </c>
      <c r="H16" s="25">
        <v>1.7</v>
      </c>
      <c r="I16" s="25">
        <v>1.1000000000000001</v>
      </c>
      <c r="J16" s="25">
        <v>2</v>
      </c>
      <c r="K16" s="25">
        <v>2.2999999999999998</v>
      </c>
      <c r="L16" s="25">
        <v>3.5</v>
      </c>
      <c r="M16" s="25">
        <v>3.4</v>
      </c>
      <c r="N16" s="76">
        <v>5.9</v>
      </c>
      <c r="O16" s="24">
        <f t="shared" si="0"/>
        <v>5.9</v>
      </c>
      <c r="P16" s="25">
        <f t="shared" si="1"/>
        <v>1.1000000000000001</v>
      </c>
      <c r="Q16" s="26">
        <f t="shared" si="2"/>
        <v>3.1083333333333329</v>
      </c>
    </row>
    <row r="17" spans="1:18" ht="19.5" customHeight="1">
      <c r="A17" s="19">
        <v>13</v>
      </c>
      <c r="B17" s="20" t="s">
        <v>35</v>
      </c>
      <c r="C17" s="21">
        <v>10.01</v>
      </c>
      <c r="D17" s="25">
        <v>15.08</v>
      </c>
      <c r="E17" s="25">
        <v>8.14</v>
      </c>
      <c r="F17" s="25">
        <v>7.25</v>
      </c>
      <c r="G17" s="25">
        <v>6.59</v>
      </c>
      <c r="H17" s="25">
        <v>7.01</v>
      </c>
      <c r="I17" s="25">
        <v>6.48</v>
      </c>
      <c r="J17" s="25">
        <v>7.43</v>
      </c>
      <c r="K17" s="25">
        <v>8.6999999999999993</v>
      </c>
      <c r="L17" s="25">
        <v>5.1100000000000003</v>
      </c>
      <c r="M17" s="25">
        <v>9.61</v>
      </c>
      <c r="N17" s="76">
        <v>18.39</v>
      </c>
      <c r="O17" s="24">
        <f t="shared" si="0"/>
        <v>18.39</v>
      </c>
      <c r="P17" s="25">
        <f t="shared" si="1"/>
        <v>5.1100000000000003</v>
      </c>
      <c r="Q17" s="26">
        <f t="shared" si="2"/>
        <v>9.15</v>
      </c>
    </row>
    <row r="18" spans="1:18" ht="19.5" customHeight="1">
      <c r="A18" s="19">
        <v>14</v>
      </c>
      <c r="B18" s="20" t="s">
        <v>36</v>
      </c>
      <c r="C18" s="21" t="s">
        <v>21</v>
      </c>
      <c r="D18" s="25" t="s">
        <v>21</v>
      </c>
      <c r="E18" s="25">
        <v>1.4805738729918285</v>
      </c>
      <c r="F18" s="25" t="s">
        <v>21</v>
      </c>
      <c r="G18" s="25" t="s">
        <v>21</v>
      </c>
      <c r="H18" s="25">
        <v>1.3158913588735999</v>
      </c>
      <c r="I18" s="25">
        <v>0.76546962684279563</v>
      </c>
      <c r="J18" s="25">
        <v>1.428546107432805</v>
      </c>
      <c r="K18" s="25">
        <v>1.8065040936152106</v>
      </c>
      <c r="L18" s="25">
        <v>2.3440401374461901</v>
      </c>
      <c r="M18" s="25">
        <v>2.4992628930718439</v>
      </c>
      <c r="N18" s="76">
        <v>4.1713542119033296</v>
      </c>
      <c r="O18" s="24">
        <f t="shared" si="0"/>
        <v>4.1713542119033296</v>
      </c>
      <c r="P18" s="25">
        <f t="shared" si="1"/>
        <v>0.76546962684279563</v>
      </c>
      <c r="Q18" s="26">
        <f t="shared" si="2"/>
        <v>1.9764552877722006</v>
      </c>
    </row>
    <row r="19" spans="1:18" ht="19.5" customHeight="1">
      <c r="A19" s="19">
        <v>15</v>
      </c>
      <c r="B19" s="20" t="s">
        <v>37</v>
      </c>
      <c r="C19" s="21">
        <v>28.68</v>
      </c>
      <c r="D19" s="25">
        <v>16.04</v>
      </c>
      <c r="E19" s="25">
        <v>2.87</v>
      </c>
      <c r="F19" s="25">
        <v>3.22</v>
      </c>
      <c r="G19" s="25">
        <v>2.2999999999999998</v>
      </c>
      <c r="H19" s="25">
        <v>4.3499999999999996</v>
      </c>
      <c r="I19" s="25">
        <v>7.01</v>
      </c>
      <c r="J19" s="25">
        <v>8.7899999999999991</v>
      </c>
      <c r="K19" s="25">
        <v>16.100000000000001</v>
      </c>
      <c r="L19" s="25">
        <v>7.17</v>
      </c>
      <c r="M19" s="25">
        <v>12.21</v>
      </c>
      <c r="N19" s="76">
        <v>17.03</v>
      </c>
      <c r="O19" s="24">
        <f t="shared" si="0"/>
        <v>28.68</v>
      </c>
      <c r="P19" s="25">
        <f t="shared" si="1"/>
        <v>2.2999999999999998</v>
      </c>
      <c r="Q19" s="26">
        <f t="shared" si="2"/>
        <v>10.480833333333331</v>
      </c>
    </row>
    <row r="20" spans="1:18" ht="19.5" customHeight="1">
      <c r="A20" s="91">
        <v>16</v>
      </c>
      <c r="B20" s="56" t="s">
        <v>38</v>
      </c>
      <c r="C20" s="66">
        <v>8.6</v>
      </c>
      <c r="D20" s="61">
        <v>11</v>
      </c>
      <c r="E20" s="61">
        <v>7.5</v>
      </c>
      <c r="F20" s="61">
        <v>8.4</v>
      </c>
      <c r="G20" s="61">
        <v>5.5</v>
      </c>
      <c r="H20" s="61">
        <v>8.9</v>
      </c>
      <c r="I20" s="61">
        <v>6.9</v>
      </c>
      <c r="J20" s="61">
        <v>5.8</v>
      </c>
      <c r="K20" s="61">
        <v>10.1</v>
      </c>
      <c r="L20" s="61">
        <v>8.8000000000000007</v>
      </c>
      <c r="M20" s="61">
        <v>7.1</v>
      </c>
      <c r="N20" s="83">
        <v>14.8</v>
      </c>
      <c r="O20" s="60">
        <f t="shared" si="0"/>
        <v>14.8</v>
      </c>
      <c r="P20" s="61">
        <f t="shared" si="1"/>
        <v>5.5</v>
      </c>
      <c r="Q20" s="62">
        <f t="shared" si="2"/>
        <v>8.6166666666666654</v>
      </c>
    </row>
    <row r="21" spans="1:18" ht="19.5" customHeight="1">
      <c r="A21" s="37">
        <v>17</v>
      </c>
      <c r="B21" s="38" t="s">
        <v>39</v>
      </c>
      <c r="C21" s="63" t="s">
        <v>21</v>
      </c>
      <c r="D21" s="42" t="s">
        <v>21</v>
      </c>
      <c r="E21" s="42" t="s">
        <v>21</v>
      </c>
      <c r="F21" s="42" t="s">
        <v>21</v>
      </c>
      <c r="G21" s="42" t="s">
        <v>21</v>
      </c>
      <c r="H21" s="42">
        <v>0.37196989811611209</v>
      </c>
      <c r="I21" s="42">
        <v>0.32049364115629486</v>
      </c>
      <c r="J21" s="42">
        <v>0.70581716016447094</v>
      </c>
      <c r="K21" s="42">
        <v>2.4089132666121742</v>
      </c>
      <c r="L21" s="42">
        <v>1.8928272799057293</v>
      </c>
      <c r="M21" s="42">
        <v>0.41331184905085638</v>
      </c>
      <c r="N21" s="81">
        <v>13.077929582798982</v>
      </c>
      <c r="O21" s="41">
        <f t="shared" si="0"/>
        <v>13.077929582798982</v>
      </c>
      <c r="P21" s="42">
        <f t="shared" si="1"/>
        <v>0.32049364115629486</v>
      </c>
      <c r="Q21" s="43">
        <f t="shared" si="2"/>
        <v>2.7416089539720887</v>
      </c>
      <c r="R21" s="64"/>
    </row>
    <row r="22" spans="1:18" ht="19.5" customHeight="1">
      <c r="A22" s="19">
        <v>18</v>
      </c>
      <c r="B22" s="20" t="s">
        <v>40</v>
      </c>
      <c r="C22" s="21">
        <v>19.727948641217782</v>
      </c>
      <c r="D22" s="25">
        <v>24.397661303274742</v>
      </c>
      <c r="E22" s="25">
        <v>9.6834663550781581</v>
      </c>
      <c r="F22" s="25">
        <v>6.1086347068490596</v>
      </c>
      <c r="G22" s="25">
        <v>7.2555729459950022</v>
      </c>
      <c r="H22" s="25">
        <v>8.5985805431246582</v>
      </c>
      <c r="I22" s="25">
        <v>13.518169083698202</v>
      </c>
      <c r="J22" s="25">
        <v>10.129912786061027</v>
      </c>
      <c r="K22" s="25">
        <v>14.650243767356276</v>
      </c>
      <c r="L22" s="25">
        <v>20.968799315838389</v>
      </c>
      <c r="M22" s="25">
        <v>13.428767557902113</v>
      </c>
      <c r="N22" s="76">
        <v>39.070156652178476</v>
      </c>
      <c r="O22" s="24">
        <f t="shared" si="0"/>
        <v>39.070156652178476</v>
      </c>
      <c r="P22" s="25">
        <f t="shared" si="1"/>
        <v>6.1086347068490596</v>
      </c>
      <c r="Q22" s="26">
        <f t="shared" si="2"/>
        <v>15.628159471547823</v>
      </c>
    </row>
    <row r="23" spans="1:18" ht="19.5" customHeight="1">
      <c r="A23" s="19">
        <v>19</v>
      </c>
      <c r="B23" s="20" t="s">
        <v>41</v>
      </c>
      <c r="C23" s="21" t="s">
        <v>21</v>
      </c>
      <c r="D23" s="84">
        <v>0.25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0.09</v>
      </c>
      <c r="K23" s="25">
        <v>0</v>
      </c>
      <c r="L23" s="25">
        <v>0.67</v>
      </c>
      <c r="M23" s="25">
        <v>0</v>
      </c>
      <c r="N23" s="76">
        <v>0</v>
      </c>
      <c r="O23" s="24">
        <f t="shared" si="0"/>
        <v>0.67</v>
      </c>
      <c r="P23" s="25">
        <f t="shared" si="1"/>
        <v>0</v>
      </c>
      <c r="Q23" s="26">
        <f t="shared" si="2"/>
        <v>9.1818181818181813E-2</v>
      </c>
      <c r="R23" s="49" t="s">
        <v>42</v>
      </c>
    </row>
    <row r="24" spans="1:18" ht="19.5" customHeight="1">
      <c r="A24" s="19">
        <v>20</v>
      </c>
      <c r="B24" s="20" t="s">
        <v>43</v>
      </c>
      <c r="C24" s="21" t="s">
        <v>21</v>
      </c>
      <c r="D24" s="25" t="s">
        <v>21</v>
      </c>
      <c r="E24" s="25" t="s">
        <v>21</v>
      </c>
      <c r="F24" s="25" t="s">
        <v>21</v>
      </c>
      <c r="G24" s="25" t="s">
        <v>21</v>
      </c>
      <c r="H24" s="25" t="s">
        <v>21</v>
      </c>
      <c r="I24" s="25">
        <v>29.2</v>
      </c>
      <c r="J24" s="25">
        <v>9.6300000000000008</v>
      </c>
      <c r="K24" s="25">
        <v>11.5</v>
      </c>
      <c r="L24" s="25">
        <v>112</v>
      </c>
      <c r="M24" s="25">
        <v>63.8</v>
      </c>
      <c r="N24" s="85">
        <v>66.400000000000006</v>
      </c>
      <c r="O24" s="24">
        <f t="shared" si="0"/>
        <v>112</v>
      </c>
      <c r="P24" s="25">
        <f t="shared" si="1"/>
        <v>9.6300000000000008</v>
      </c>
      <c r="Q24" s="26">
        <f t="shared" si="2"/>
        <v>48.754999999999995</v>
      </c>
      <c r="R24" s="49" t="s">
        <v>44</v>
      </c>
    </row>
    <row r="25" spans="1:18" ht="19.5" customHeight="1">
      <c r="A25" s="44">
        <v>21</v>
      </c>
      <c r="B25" s="45" t="s">
        <v>45</v>
      </c>
      <c r="C25" s="88" t="s">
        <v>21</v>
      </c>
      <c r="D25" s="47" t="s">
        <v>21</v>
      </c>
      <c r="E25" s="47" t="s">
        <v>21</v>
      </c>
      <c r="F25" s="47" t="s">
        <v>21</v>
      </c>
      <c r="G25" s="47" t="s">
        <v>21</v>
      </c>
      <c r="H25" s="47" t="s">
        <v>21</v>
      </c>
      <c r="I25" s="47" t="s">
        <v>21</v>
      </c>
      <c r="J25" s="86">
        <v>1.79</v>
      </c>
      <c r="K25" s="47">
        <v>4.1900000000000004</v>
      </c>
      <c r="L25" s="47">
        <v>13.34</v>
      </c>
      <c r="M25" s="47">
        <v>3.99</v>
      </c>
      <c r="N25" s="87">
        <v>15.11</v>
      </c>
      <c r="O25" s="46">
        <f t="shared" si="0"/>
        <v>15.11</v>
      </c>
      <c r="P25" s="47">
        <f t="shared" si="1"/>
        <v>1.79</v>
      </c>
      <c r="Q25" s="48">
        <f t="shared" si="2"/>
        <v>7.6840000000000002</v>
      </c>
      <c r="R25" s="49" t="s">
        <v>46</v>
      </c>
    </row>
    <row r="26" spans="1:18" ht="19.5" customHeight="1">
      <c r="A26" s="50">
        <v>22</v>
      </c>
      <c r="B26" s="12" t="s">
        <v>47</v>
      </c>
      <c r="C26" s="74">
        <v>23.08</v>
      </c>
      <c r="D26" s="17">
        <v>24.76</v>
      </c>
      <c r="E26" s="17">
        <v>17.8</v>
      </c>
      <c r="F26" s="17">
        <v>14.85</v>
      </c>
      <c r="G26" s="17">
        <v>9</v>
      </c>
      <c r="H26" s="17">
        <v>18.02</v>
      </c>
      <c r="I26" s="17">
        <v>15.38</v>
      </c>
      <c r="J26" s="17">
        <v>15.43</v>
      </c>
      <c r="K26" s="17">
        <v>15.46</v>
      </c>
      <c r="L26" s="17">
        <v>12.01</v>
      </c>
      <c r="M26" s="17">
        <v>16.670000000000002</v>
      </c>
      <c r="N26" s="75">
        <v>36.450000000000003</v>
      </c>
      <c r="O26" s="16">
        <f t="shared" si="0"/>
        <v>36.450000000000003</v>
      </c>
      <c r="P26" s="17">
        <f t="shared" si="1"/>
        <v>9</v>
      </c>
      <c r="Q26" s="18">
        <f t="shared" si="2"/>
        <v>18.242499999999996</v>
      </c>
    </row>
    <row r="27" spans="1:18" ht="19.5" customHeight="1">
      <c r="A27" s="19">
        <v>23</v>
      </c>
      <c r="B27" s="20" t="s">
        <v>48</v>
      </c>
      <c r="C27" s="21" t="s">
        <v>21</v>
      </c>
      <c r="D27" s="25" t="s">
        <v>21</v>
      </c>
      <c r="E27" s="84" t="s">
        <v>21</v>
      </c>
      <c r="F27" s="25">
        <v>0.38</v>
      </c>
      <c r="G27" s="25">
        <v>0.20209365864573675</v>
      </c>
      <c r="H27" s="25">
        <v>7.3579263574905546E-2</v>
      </c>
      <c r="I27" s="25">
        <v>0.18975546433946106</v>
      </c>
      <c r="J27" s="25">
        <v>0.12513459612743932</v>
      </c>
      <c r="K27" s="25">
        <v>0.61269047658623899</v>
      </c>
      <c r="L27" s="25">
        <v>1.7037617390136608</v>
      </c>
      <c r="M27" s="25">
        <v>7.0234574045034998E-2</v>
      </c>
      <c r="N27" s="85">
        <v>0.4304835105711266</v>
      </c>
      <c r="O27" s="24">
        <v>3.9166775183367268</v>
      </c>
      <c r="P27" s="25">
        <f t="shared" si="1"/>
        <v>7.0234574045034998E-2</v>
      </c>
      <c r="Q27" s="26">
        <f t="shared" si="2"/>
        <v>0.42085925365595606</v>
      </c>
      <c r="R27" s="49" t="s">
        <v>49</v>
      </c>
    </row>
    <row r="28" spans="1:18" ht="19.5" customHeight="1">
      <c r="A28" s="19">
        <v>24</v>
      </c>
      <c r="B28" s="20" t="s">
        <v>50</v>
      </c>
      <c r="C28" s="89" t="s">
        <v>21</v>
      </c>
      <c r="D28" s="25">
        <v>9.6999999999999993</v>
      </c>
      <c r="E28" s="25">
        <v>1.9</v>
      </c>
      <c r="F28" s="25">
        <v>2.8</v>
      </c>
      <c r="G28" s="25">
        <v>2.2000000000000002</v>
      </c>
      <c r="H28" s="90" t="s">
        <v>21</v>
      </c>
      <c r="I28" s="25">
        <v>6.6</v>
      </c>
      <c r="J28" s="25">
        <v>31.8</v>
      </c>
      <c r="K28" s="25">
        <v>13.8</v>
      </c>
      <c r="L28" s="25" t="s">
        <v>21</v>
      </c>
      <c r="M28" s="25">
        <v>120</v>
      </c>
      <c r="N28" s="76" t="s">
        <v>21</v>
      </c>
      <c r="O28" s="24">
        <f t="shared" ref="O28:O29" si="3">MAX(C28:N28)</f>
        <v>120</v>
      </c>
      <c r="P28" s="25">
        <f t="shared" si="1"/>
        <v>1.9</v>
      </c>
      <c r="Q28" s="26">
        <f t="shared" si="2"/>
        <v>23.6</v>
      </c>
      <c r="R28" s="49" t="s">
        <v>51</v>
      </c>
    </row>
    <row r="29" spans="1:18" ht="19.5" customHeight="1">
      <c r="A29" s="55">
        <v>25</v>
      </c>
      <c r="B29" s="56" t="s">
        <v>52</v>
      </c>
      <c r="C29" s="66" t="s">
        <v>21</v>
      </c>
      <c r="D29" s="61" t="s">
        <v>21</v>
      </c>
      <c r="E29" s="61" t="s">
        <v>21</v>
      </c>
      <c r="F29" s="61" t="s">
        <v>21</v>
      </c>
      <c r="G29" s="61" t="s">
        <v>21</v>
      </c>
      <c r="H29" s="61">
        <v>2.7352773128283396</v>
      </c>
      <c r="I29" s="61">
        <v>1.7871356647220846</v>
      </c>
      <c r="J29" s="61">
        <v>2.4657321001824224</v>
      </c>
      <c r="K29" s="61">
        <v>5.0346027064536445</v>
      </c>
      <c r="L29" s="61">
        <v>0.39555340610771167</v>
      </c>
      <c r="M29" s="61">
        <v>3.6433806583922319</v>
      </c>
      <c r="N29" s="83">
        <v>30.70173020691124</v>
      </c>
      <c r="O29" s="60">
        <f t="shared" si="3"/>
        <v>30.70173020691124</v>
      </c>
      <c r="P29" s="61">
        <f t="shared" si="1"/>
        <v>0.39555340610771167</v>
      </c>
      <c r="Q29" s="62">
        <f t="shared" si="2"/>
        <v>6.6804874365139524</v>
      </c>
      <c r="R29" s="49" t="s">
        <v>53</v>
      </c>
    </row>
    <row r="30" spans="1:18" ht="19.5" customHeight="1">
      <c r="A30" s="5"/>
      <c r="B30" s="73"/>
      <c r="C30" s="49"/>
      <c r="D30" s="73"/>
      <c r="E30" s="73"/>
      <c r="F30" s="73"/>
      <c r="G30" s="73"/>
      <c r="H30" s="73"/>
      <c r="I30" s="73"/>
    </row>
    <row r="31" spans="1:18" ht="19.5" customHeight="1">
      <c r="A31" s="5"/>
      <c r="B31" s="73"/>
      <c r="C31" s="49"/>
      <c r="D31" s="73"/>
      <c r="E31" s="73"/>
      <c r="F31" s="73"/>
      <c r="G31" s="73"/>
      <c r="H31" s="73"/>
      <c r="I31" s="73"/>
    </row>
    <row r="32" spans="1:18" ht="19.5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5"/>
    </row>
    <row r="58" spans="1:1" ht="19.5" customHeight="1">
      <c r="A58" s="5"/>
    </row>
    <row r="59" spans="1:1" ht="19.5" customHeight="1">
      <c r="A59" s="5"/>
    </row>
    <row r="60" spans="1:1" ht="19.5" customHeight="1">
      <c r="A60" s="5"/>
    </row>
    <row r="61" spans="1:1" ht="19.5" customHeight="1">
      <c r="A61" s="5"/>
    </row>
    <row r="62" spans="1:1" ht="19.5" customHeight="1">
      <c r="A62" s="5"/>
    </row>
    <row r="63" spans="1:1" ht="19.5" customHeight="1">
      <c r="A63" s="5"/>
    </row>
    <row r="64" spans="1:1" ht="19.5" customHeight="1">
      <c r="A64" s="5"/>
    </row>
    <row r="65" spans="1:1" ht="19.5" customHeight="1">
      <c r="A65" s="5"/>
    </row>
    <row r="66" spans="1:1" ht="19.5" customHeight="1">
      <c r="A66" s="5"/>
    </row>
    <row r="67" spans="1:1" ht="19.5" customHeight="1">
      <c r="A67" s="5"/>
    </row>
    <row r="68" spans="1:1" ht="19.5" customHeight="1">
      <c r="A68" s="5"/>
    </row>
    <row r="69" spans="1:1" ht="19.5" customHeight="1">
      <c r="A69" s="5"/>
    </row>
    <row r="70" spans="1:1" ht="19.5" customHeight="1">
      <c r="A70" s="5"/>
    </row>
    <row r="71" spans="1:1" ht="19.5" customHeight="1">
      <c r="A71" s="5"/>
    </row>
    <row r="72" spans="1:1" ht="19.5" customHeight="1">
      <c r="A72" s="5"/>
    </row>
    <row r="73" spans="1:1" ht="19.5" customHeight="1">
      <c r="A73" s="5"/>
    </row>
    <row r="74" spans="1:1" ht="19.5" customHeight="1">
      <c r="A74" s="5"/>
    </row>
    <row r="75" spans="1:1" ht="19.5" customHeight="1">
      <c r="A75" s="5"/>
    </row>
    <row r="76" spans="1:1" ht="19.5" customHeight="1">
      <c r="A76" s="5"/>
    </row>
    <row r="77" spans="1:1" ht="19.5" customHeight="1">
      <c r="A77" s="5"/>
    </row>
    <row r="78" spans="1:1" ht="19.5" customHeight="1">
      <c r="A78" s="5"/>
    </row>
    <row r="79" spans="1:1" ht="19.5" customHeight="1">
      <c r="A79" s="5"/>
    </row>
    <row r="80" spans="1:1" ht="19.5" customHeight="1">
      <c r="A80" s="5"/>
    </row>
    <row r="81" spans="1:1" ht="19.5" customHeight="1">
      <c r="A81" s="5"/>
    </row>
    <row r="82" spans="1:1" ht="19.5" customHeight="1">
      <c r="A82" s="5"/>
    </row>
    <row r="83" spans="1:1" ht="19.5" customHeight="1">
      <c r="A83" s="5"/>
    </row>
    <row r="84" spans="1:1" ht="19.5" customHeight="1">
      <c r="A84" s="5"/>
    </row>
    <row r="85" spans="1:1" ht="19.5" customHeight="1">
      <c r="A85" s="5"/>
    </row>
    <row r="86" spans="1:1" ht="19.5" customHeight="1">
      <c r="A86" s="5"/>
    </row>
    <row r="87" spans="1:1" ht="19.5" customHeight="1">
      <c r="A87" s="5"/>
    </row>
    <row r="88" spans="1:1" ht="19.5" customHeight="1">
      <c r="A88" s="5"/>
    </row>
    <row r="89" spans="1:1" ht="19.5" customHeight="1">
      <c r="A89" s="5"/>
    </row>
    <row r="90" spans="1:1" ht="19.5" customHeight="1">
      <c r="A90" s="5"/>
    </row>
    <row r="91" spans="1:1" ht="19.5" customHeight="1">
      <c r="A91" s="5"/>
    </row>
    <row r="92" spans="1:1" ht="19.5" customHeight="1">
      <c r="A92" s="5"/>
    </row>
    <row r="93" spans="1:1" ht="19.5" customHeight="1">
      <c r="A93" s="5"/>
    </row>
    <row r="94" spans="1:1" ht="19.5" customHeight="1">
      <c r="A94" s="5"/>
    </row>
    <row r="95" spans="1:1" ht="19.5" customHeight="1">
      <c r="A95" s="5"/>
    </row>
    <row r="96" spans="1:1" ht="19.5" customHeight="1">
      <c r="A96" s="5"/>
    </row>
    <row r="97" spans="1:1" ht="19.5" customHeight="1">
      <c r="A97" s="5"/>
    </row>
    <row r="98" spans="1:1" ht="19.5" customHeight="1">
      <c r="A98" s="5"/>
    </row>
    <row r="99" spans="1:1" ht="19.5" customHeight="1">
      <c r="A99" s="5"/>
    </row>
    <row r="100" spans="1:1" ht="19.5" customHeight="1">
      <c r="A100" s="5"/>
    </row>
    <row r="101" spans="1:1" ht="19.5" customHeight="1">
      <c r="A101" s="5"/>
    </row>
    <row r="102" spans="1:1" ht="19.5" customHeight="1">
      <c r="A102" s="5"/>
    </row>
    <row r="103" spans="1:1" ht="19.5" customHeight="1">
      <c r="A103" s="5"/>
    </row>
    <row r="104" spans="1:1" ht="19.5" customHeight="1">
      <c r="A104" s="5"/>
    </row>
    <row r="105" spans="1:1" ht="19.5" customHeight="1">
      <c r="A105" s="5"/>
    </row>
    <row r="106" spans="1:1" ht="19.5" customHeight="1">
      <c r="A106" s="5"/>
    </row>
    <row r="107" spans="1:1" ht="19.5" customHeight="1">
      <c r="A107" s="5"/>
    </row>
    <row r="108" spans="1:1" ht="19.5" customHeight="1">
      <c r="A108" s="5"/>
    </row>
    <row r="109" spans="1:1" ht="19.5" customHeight="1">
      <c r="A109" s="5"/>
    </row>
    <row r="110" spans="1:1" ht="19.5" customHeight="1">
      <c r="A110" s="5"/>
    </row>
    <row r="111" spans="1:1" ht="19.5" customHeight="1">
      <c r="A111" s="5"/>
    </row>
    <row r="112" spans="1:1" ht="19.5" customHeight="1">
      <c r="A112" s="5"/>
    </row>
    <row r="113" spans="1:1" ht="19.5" customHeight="1">
      <c r="A113" s="5"/>
    </row>
    <row r="114" spans="1:1" ht="19.5" customHeight="1">
      <c r="A114" s="5"/>
    </row>
    <row r="115" spans="1:1" ht="19.5" customHeight="1">
      <c r="A115" s="5"/>
    </row>
    <row r="116" spans="1:1" ht="19.5" customHeight="1">
      <c r="A116" s="5"/>
    </row>
    <row r="117" spans="1:1" ht="19.5" customHeight="1">
      <c r="A117" s="5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欠測率</vt:lpstr>
      <vt:lpstr>採気量</vt:lpstr>
      <vt:lpstr>SO4</vt:lpstr>
      <vt:lpstr>NO3</vt:lpstr>
      <vt:lpstr>Cl</vt:lpstr>
      <vt:lpstr>NH4</vt:lpstr>
      <vt:lpstr>Na</vt:lpstr>
      <vt:lpstr>K</vt:lpstr>
      <vt:lpstr>Ca</vt:lpstr>
      <vt:lpstr>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宏昭</cp:lastModifiedBy>
  <dcterms:modified xsi:type="dcterms:W3CDTF">2026-06-22T05:29:38Z</dcterms:modified>
</cp:coreProperties>
</file>